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kumenty\Przetargi\2022\WIELEŃ OS PÓŁNOC DROGI\II PRZETARG\"/>
    </mc:Choice>
  </mc:AlternateContent>
  <bookViews>
    <workbookView xWindow="0" yWindow="0" windowWidth="25200" windowHeight="11685"/>
  </bookViews>
  <sheets>
    <sheet name="Wielen Polnoc" sheetId="2" r:id="rId1"/>
    <sheet name="Sala Wiejska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E17" i="3" s="1"/>
  <c r="E18" i="3" s="1"/>
  <c r="E133" i="2"/>
  <c r="C133" i="2"/>
  <c r="C132" i="2"/>
  <c r="E129" i="2"/>
  <c r="E128" i="2"/>
  <c r="E127" i="2"/>
  <c r="E125" i="2"/>
  <c r="E112" i="2"/>
  <c r="E111" i="2"/>
  <c r="E113" i="2"/>
  <c r="E116" i="2"/>
  <c r="E94" i="2"/>
  <c r="E110" i="2"/>
  <c r="E117" i="2"/>
  <c r="E109" i="2"/>
  <c r="C107" i="2"/>
  <c r="C102" i="2"/>
  <c r="C103" i="2" s="1"/>
  <c r="C104" i="2" s="1"/>
  <c r="C105" i="2" s="1"/>
  <c r="C106" i="2" s="1"/>
  <c r="C100" i="2"/>
  <c r="C99" i="2"/>
  <c r="C98" i="2"/>
  <c r="C34" i="2"/>
  <c r="E70" i="2"/>
  <c r="E91" i="2"/>
  <c r="C63" i="2"/>
  <c r="C66" i="2" s="1"/>
  <c r="C12" i="2"/>
  <c r="C22" i="2" s="1"/>
  <c r="C11" i="2"/>
  <c r="C25" i="2" s="1"/>
  <c r="C10" i="2"/>
  <c r="C21" i="2" s="1"/>
  <c r="C9" i="2"/>
  <c r="C8" i="2"/>
  <c r="C23" i="2" s="1"/>
  <c r="C7" i="2"/>
  <c r="C27" i="2" s="1"/>
  <c r="C26" i="2" s="1"/>
  <c r="C6" i="2"/>
  <c r="C24" i="2" s="1"/>
  <c r="C5" i="2"/>
  <c r="C20" i="2" s="1"/>
  <c r="D122" i="2"/>
  <c r="E73" i="2"/>
  <c r="E69" i="2"/>
  <c r="D83" i="2"/>
  <c r="E83" i="2" s="1"/>
  <c r="D82" i="2"/>
  <c r="E82" i="2" s="1"/>
  <c r="D80" i="2"/>
  <c r="D78" i="2"/>
  <c r="E78" i="2" s="1"/>
  <c r="D77" i="2"/>
  <c r="E45" i="2"/>
  <c r="E46" i="2" s="1"/>
  <c r="D123" i="2" l="1"/>
  <c r="D124" i="2" s="1"/>
  <c r="E124" i="2" s="1"/>
  <c r="E132" i="2"/>
  <c r="C114" i="2"/>
  <c r="C115" i="2" s="1"/>
  <c r="E115" i="2" s="1"/>
  <c r="E99" i="2"/>
  <c r="E100" i="2"/>
  <c r="E106" i="2"/>
  <c r="E98" i="2"/>
  <c r="C80" i="2"/>
  <c r="C51" i="2"/>
  <c r="C19" i="2"/>
  <c r="C28" i="2" s="1"/>
  <c r="C89" i="2" s="1"/>
  <c r="E89" i="2" s="1"/>
  <c r="C13" i="2"/>
  <c r="C67" i="2"/>
  <c r="E67" i="2" s="1"/>
  <c r="E63" i="2"/>
  <c r="E66" i="2"/>
  <c r="C64" i="2"/>
  <c r="E64" i="2" s="1"/>
  <c r="C65" i="2"/>
  <c r="E65" i="2" s="1"/>
  <c r="E49" i="2"/>
  <c r="C61" i="2" l="1"/>
  <c r="E61" i="2" s="1"/>
  <c r="C38" i="2"/>
  <c r="C71" i="2"/>
  <c r="C72" i="2" s="1"/>
  <c r="E72" i="2" s="1"/>
  <c r="E114" i="2"/>
  <c r="E118" i="2" s="1"/>
  <c r="E101" i="2"/>
  <c r="C48" i="2"/>
  <c r="E48" i="2" s="1"/>
  <c r="E50" i="2" s="1"/>
  <c r="C74" i="2"/>
  <c r="E74" i="2" s="1"/>
  <c r="C15" i="2"/>
  <c r="C16" i="2" s="1"/>
  <c r="C56" i="2" s="1"/>
  <c r="C30" i="2"/>
  <c r="C31" i="2" s="1"/>
  <c r="C81" i="2" s="1"/>
  <c r="E81" i="2" s="1"/>
  <c r="C95" i="2"/>
  <c r="E95" i="2" s="1"/>
  <c r="C77" i="2"/>
  <c r="E68" i="2"/>
  <c r="C120" i="2" l="1"/>
  <c r="E120" i="2" s="1"/>
  <c r="E121" i="2" s="1"/>
  <c r="C39" i="2"/>
  <c r="C60" i="2"/>
  <c r="C52" i="2"/>
  <c r="E52" i="2" s="1"/>
  <c r="E71" i="2"/>
  <c r="E75" i="2" s="1"/>
  <c r="C85" i="2"/>
  <c r="E85" i="2" s="1"/>
  <c r="E80" i="2"/>
  <c r="E84" i="2" s="1"/>
  <c r="C53" i="2"/>
  <c r="E53" i="2" s="1"/>
  <c r="E51" i="2"/>
  <c r="C54" i="2"/>
  <c r="E54" i="2" s="1"/>
  <c r="C88" i="2"/>
  <c r="E88" i="2" s="1"/>
  <c r="C92" i="2"/>
  <c r="C93" i="2" s="1"/>
  <c r="E93" i="2" s="1"/>
  <c r="C86" i="2"/>
  <c r="E86" i="2" s="1"/>
  <c r="C87" i="2"/>
  <c r="E87" i="2" s="1"/>
  <c r="E77" i="2"/>
  <c r="E79" i="2" s="1"/>
  <c r="E48" i="3" l="1"/>
  <c r="E49" i="3" s="1"/>
  <c r="C122" i="2"/>
  <c r="C130" i="2"/>
  <c r="E130" i="2" s="1"/>
  <c r="C131" i="2"/>
  <c r="E131" i="2" s="1"/>
  <c r="E55" i="2"/>
  <c r="E60" i="2"/>
  <c r="C58" i="2"/>
  <c r="E58" i="2" s="1"/>
  <c r="C57" i="2"/>
  <c r="E57" i="2" s="1"/>
  <c r="C59" i="2"/>
  <c r="E56" i="2"/>
  <c r="E92" i="2"/>
  <c r="E96" i="2" s="1"/>
  <c r="E90" i="2"/>
  <c r="E134" i="2" l="1"/>
  <c r="E122" i="2"/>
  <c r="C123" i="2"/>
  <c r="E123" i="2" s="1"/>
  <c r="E59" i="2"/>
  <c r="E62" i="2" s="1"/>
  <c r="E107" i="2"/>
  <c r="E126" i="2" l="1"/>
  <c r="E102" i="2"/>
  <c r="E103" i="2"/>
  <c r="E104" i="2"/>
  <c r="E105" i="2"/>
  <c r="E108" i="2" l="1"/>
  <c r="E136" i="2" s="1"/>
  <c r="E137" i="2" s="1"/>
  <c r="E138" i="2" s="1"/>
</calcChain>
</file>

<file path=xl/sharedStrings.xml><?xml version="1.0" encoding="utf-8"?>
<sst xmlns="http://schemas.openxmlformats.org/spreadsheetml/2006/main" count="303" uniqueCount="213">
  <si>
    <t>Lp.</t>
  </si>
  <si>
    <t>Wyszczególnienie</t>
  </si>
  <si>
    <t>Ilość</t>
  </si>
  <si>
    <t>Koszt jednostkowy</t>
  </si>
  <si>
    <t>Wartość</t>
  </si>
  <si>
    <t>(1)</t>
  </si>
  <si>
    <t>(2)</t>
  </si>
  <si>
    <t>(3)</t>
  </si>
  <si>
    <t>(4)</t>
  </si>
  <si>
    <t>(5) = (3) x (4)</t>
  </si>
  <si>
    <t>1.</t>
  </si>
  <si>
    <t>Program Funkcjonalno-Użytkowy dla zadania pn. "Budowa chodnika przy ul. Jana Pawła II w Wieleniu"</t>
  </si>
  <si>
    <t>Załącznik nr X. Szacunkowa kalkulacja kosztów wykonania</t>
  </si>
  <si>
    <t>Prace projektowe:</t>
  </si>
  <si>
    <t>2.</t>
  </si>
  <si>
    <t>Opracowanie dokumentacji projektowej [szt.]</t>
  </si>
  <si>
    <t>Roboty przygotowawcze:</t>
  </si>
  <si>
    <t>3.</t>
  </si>
  <si>
    <t>Inwentaryzacja geodezyjna powykonawcza [kpl.]</t>
  </si>
  <si>
    <t>4.</t>
  </si>
  <si>
    <t>Roboty pomiarowe przy liniowych robotach ziemnych [km]</t>
  </si>
  <si>
    <t>Roboty przygotowawcze w zakresie karczowania krzaków i przygotowania podszycia [ha]</t>
  </si>
  <si>
    <t>5.</t>
  </si>
  <si>
    <t>6.</t>
  </si>
  <si>
    <r>
      <t>Usunięcie warstwy ziemi [m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>]</t>
    </r>
  </si>
  <si>
    <r>
      <t>Prace wykonywane koparkami [m</t>
    </r>
    <r>
      <rPr>
        <vertAlign val="super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]</t>
    </r>
  </si>
  <si>
    <r>
      <t>Formowanie i zagęszczanie nasypów z gruntu zakupionego przez Wykonawcę [m</t>
    </r>
    <r>
      <rPr>
        <vertAlign val="super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]</t>
    </r>
  </si>
  <si>
    <t>Roboty ziemne:</t>
  </si>
  <si>
    <t>P R Z E B U D O W A   N A W I E R Z C H N I   D R Ó 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</si>
  <si>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</si>
  <si>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</si>
  <si>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</si>
  <si>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</si>
  <si>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</si>
  <si>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</si>
  <si>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</si>
  <si>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</si>
  <si>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</si>
  <si>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</si>
  <si>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</si>
  <si>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Nawierzchnia zjazdów:</t>
  </si>
  <si>
    <t>Nawierzchnia drogi:</t>
  </si>
  <si>
    <t>Oznakowanie poziome i pionowe [kpl.]</t>
  </si>
  <si>
    <t>Przejścia dla pieszych wyniesione [szt.]</t>
  </si>
  <si>
    <t>Roboty wykończeniowe:</t>
  </si>
  <si>
    <t>18.</t>
  </si>
  <si>
    <t>19.</t>
  </si>
  <si>
    <t>20.</t>
  </si>
  <si>
    <t>21.</t>
  </si>
  <si>
    <t>22.</t>
  </si>
  <si>
    <t>23.</t>
  </si>
  <si>
    <t>m</t>
  </si>
  <si>
    <t>Długość drogi:</t>
  </si>
  <si>
    <t>km</t>
  </si>
  <si>
    <t>Długość chodnika:</t>
  </si>
  <si>
    <t>24.</t>
  </si>
  <si>
    <t>Powierzchnia drogi:</t>
  </si>
  <si>
    <r>
      <t>m</t>
    </r>
    <r>
      <rPr>
        <vertAlign val="superscript"/>
        <sz val="10"/>
        <color theme="1"/>
        <rFont val="Tahoma"/>
        <family val="2"/>
        <charset val="238"/>
      </rPr>
      <t>2</t>
    </r>
  </si>
  <si>
    <t>Powierzchnia chodnika:</t>
  </si>
  <si>
    <t>Korekta cenowa:</t>
  </si>
  <si>
    <t>%</t>
  </si>
  <si>
    <t>Szerokość drogi:</t>
  </si>
  <si>
    <t>Inwentaryzacja geodezyjna powykonawcza [km]</t>
  </si>
  <si>
    <t>Szerokość chodnika: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</si>
  <si>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</si>
  <si>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</si>
  <si>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</si>
  <si>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</si>
  <si>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</si>
  <si>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</si>
  <si>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</si>
  <si>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</si>
  <si>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</si>
  <si>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Krawężniki betonowe na ławie betonowej [mb]</t>
  </si>
  <si>
    <t>Nawierzchnia ciągu pieszo-jezdnego:</t>
  </si>
  <si>
    <t>Wartość szacunkowa bez podatku VAT:</t>
  </si>
  <si>
    <t>Podatek VAT 23%:</t>
  </si>
  <si>
    <t>Ogółem wartość szacunkowa robót:</t>
  </si>
  <si>
    <t>Program Funkcjonalno-Użytkowy dla zadania pn. "Przebudowa ulic w obrębie osiedla Wieleń Północ"</t>
  </si>
  <si>
    <t>Drogi: nawierzchnia kostka betonowa bezfazowa</t>
  </si>
  <si>
    <t>Chodnik: kostka betonowa bezfazowa</t>
  </si>
  <si>
    <t>- jednostronne:</t>
  </si>
  <si>
    <t>a) ul. Leśna</t>
  </si>
  <si>
    <t>b) ul. Zdzisława Orłowskiego</t>
  </si>
  <si>
    <t>c) Plac Zwycięstwa</t>
  </si>
  <si>
    <t>e) ul. Piotra Wysockiego</t>
  </si>
  <si>
    <t>f) ul. Brzozowa</t>
  </si>
  <si>
    <t>- dwustronne:</t>
  </si>
  <si>
    <t>a) ul. Ignacego Daszyńskego</t>
  </si>
  <si>
    <t>b) ul. Piotra Wysockiego</t>
  </si>
  <si>
    <t>c) ul. Ignacego Daszyńskiego</t>
  </si>
  <si>
    <t>d) ul. Ludwika Waryńskiego</t>
  </si>
  <si>
    <t>e) ul. Romualda Traugutta</t>
  </si>
  <si>
    <t>f) ul. Zdzisława Orłowskiego</t>
  </si>
  <si>
    <t>g) ul. Brzozowa</t>
  </si>
  <si>
    <t>h) Plac Zwycięstwa</t>
  </si>
  <si>
    <t>Długość kanalizacji:</t>
  </si>
  <si>
    <t>C H O D N I K I</t>
  </si>
  <si>
    <t>Plac Zwycięstwa</t>
  </si>
  <si>
    <t>Powierzchnia placu:</t>
  </si>
  <si>
    <t>35.</t>
  </si>
  <si>
    <t>36.</t>
  </si>
  <si>
    <t>37.</t>
  </si>
  <si>
    <t>38.</t>
  </si>
  <si>
    <t>39.</t>
  </si>
  <si>
    <t>40.</t>
  </si>
  <si>
    <t>41.</t>
  </si>
  <si>
    <t>Kanalizacja deszczowa grawitacyjna</t>
  </si>
  <si>
    <t>P L A C   Z W Y C I Ę S T W A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</si>
  <si>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</si>
  <si>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</si>
  <si>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</si>
  <si>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</si>
  <si>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</si>
  <si>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</si>
  <si>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</si>
  <si>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</si>
  <si>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</si>
  <si>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Zakup i montaż obiektów małej architektury - ławki, kosze na śmieci [szt.]</t>
  </si>
  <si>
    <t>Zieleń miejska - drzewa, krzewy [kpl.]</t>
  </si>
  <si>
    <t>51.</t>
  </si>
  <si>
    <t>66.</t>
  </si>
  <si>
    <t>52.</t>
  </si>
  <si>
    <t>53.</t>
  </si>
  <si>
    <t>54.</t>
  </si>
  <si>
    <t>55.</t>
  </si>
  <si>
    <t>56.</t>
  </si>
  <si>
    <t>57.</t>
  </si>
  <si>
    <t>58.</t>
  </si>
  <si>
    <t>Zakup i montaż obiektów małej architektury - stojaki na rowery [szt.]</t>
  </si>
  <si>
    <t>59.</t>
  </si>
  <si>
    <t xml:space="preserve">K A N A L I Z A C J A </t>
  </si>
  <si>
    <t>60.</t>
  </si>
  <si>
    <t>61.</t>
  </si>
  <si>
    <t>62.</t>
  </si>
  <si>
    <t>63.</t>
  </si>
  <si>
    <t>64.</t>
  </si>
  <si>
    <t>65.</t>
  </si>
  <si>
    <t>Kanaly z rur PP łacoznych na wcisk 160/142 mm</t>
  </si>
  <si>
    <t>Kanały z rur PVC łączonych na wcisk o średnicy zewnętrznej 315 mm - wykopy umocnione</t>
  </si>
  <si>
    <t>67.</t>
  </si>
  <si>
    <t>68.</t>
  </si>
  <si>
    <t>Studnie rewizyjne z kręgów betonowych [szt.]</t>
  </si>
  <si>
    <t>69.</t>
  </si>
  <si>
    <t>Studzienki ściekowe uliczne [szt.]</t>
  </si>
  <si>
    <t>70.</t>
  </si>
  <si>
    <t>Próba szczelności kanałów rurowych o średnicy 315 mm</t>
  </si>
  <si>
    <t>71.</t>
  </si>
  <si>
    <t>Próba szczelności kanałów rurowych o średnicy 160 mm</t>
  </si>
  <si>
    <t>Roboty instalacyjne:</t>
  </si>
  <si>
    <t>Sala wiejska we wsi Dzierżązno Wielkie</t>
  </si>
  <si>
    <t>Powierzchnia użytkowa</t>
  </si>
  <si>
    <t>Instalacja elektryczna</t>
  </si>
  <si>
    <t>Przydomowa oczyszczalnia ścieków</t>
  </si>
  <si>
    <t>Remont z rozbudową zaplecza sanitarnego</t>
  </si>
  <si>
    <t>Instalacja wentylacji mechanicznej</t>
  </si>
  <si>
    <t>Instalacja odgromowa</t>
  </si>
  <si>
    <t>Termomodernizacja obiektu</t>
  </si>
  <si>
    <t>Wymiana OZ</t>
  </si>
  <si>
    <t>Wymiana DZ</t>
  </si>
  <si>
    <t>Wymiana drzwi wewnętrznych</t>
  </si>
  <si>
    <t>Instalacja fotowoltaiczna</t>
  </si>
  <si>
    <t>Wymiana pokrycia dachowego</t>
  </si>
  <si>
    <t>Docieplenie stropodachu</t>
  </si>
  <si>
    <t>Wewnętrzna izolacja akustyczna</t>
  </si>
  <si>
    <t>Likwidacja barier architektonicznych</t>
  </si>
  <si>
    <t>Wymiana posadzek wewnętrznych</t>
  </si>
  <si>
    <t>Wymiana tynków wewnętrznych</t>
  </si>
  <si>
    <t>Odmalowanie wnętrza</t>
  </si>
  <si>
    <t>W łazienkach i zapleczu gospodarczym płytki ceramiczne</t>
  </si>
  <si>
    <t>Przebudowa nawierzchni przed obiektem - wymiana płytek betonowych na polbruk do granicy działki</t>
  </si>
  <si>
    <t>Zagospodarowanie terenu za obiektem</t>
  </si>
  <si>
    <t>Dojazd do przydomowej oczyszczalni ścieków</t>
  </si>
  <si>
    <t>Wykonanie wyjścia z sali na teren zielony - drzwi dwuskrzydłowe przeszklone</t>
  </si>
  <si>
    <t>Wykonanie tarasu 50m2</t>
  </si>
  <si>
    <t>Wykonanie oświetlenia zewnętrznego (lampy parkowe)</t>
  </si>
  <si>
    <t>Scena modułowa 15-18 m2</t>
  </si>
  <si>
    <t>Dostosowanie do warunków ppoż</t>
  </si>
  <si>
    <t>S Y S T E M   G R Z E W C Z Y   (C. O. + C. W. U.)</t>
  </si>
  <si>
    <t>Zapotrzebowanie na moc (C.O.+C.W.U.)</t>
  </si>
  <si>
    <t>kW</t>
  </si>
  <si>
    <t>Wykonanie kaskadowej instalacji pomp ciepła (pompa ciepła z automatyką, zasobnik buforowy, zasobnik C.W.U.)</t>
  </si>
  <si>
    <r>
      <t>Podsypka z piasku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</si>
  <si>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Usunięcie warstwy ziemi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</si>
  <si>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Wykopy liniowe do głębokości 2,8 m o szerokości do 1,0-1,5 m koparką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</si>
  <si>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Mechaniczne zasypywanie wykopów liniowych o głębokości do 2,8 m o szerokości do 1,0-1,5 m koparką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</si>
  <si>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Rozplantowanie spycharkami ziemi wydobytej z wykopów liniowych wzdłuż wykopu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</si>
  <si>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Mechaniczne plantowanie powierzchni gruntu rodzimego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</si>
  <si>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Humusowanie terenu z obsianiem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</si>
  <si>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Dostosowanie wysokościowe połączenia drogi o nawierzchni bitumicznej z drogą gruntową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</si>
  <si>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Mechaniczne profilowanie i zagęszczanie podłoża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</si>
  <si>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Warstwa odciągająca zagęszczanie mechaniczne grubości 10 cm po zagęszczeniu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</si>
  <si>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Podbudowa drogi z kruszywa łamanego stabilizowanego mechanicznie o gr. 20 cm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</si>
  <si>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Podsypka piaskowo-cementowa o grubości 5 cm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</si>
  <si>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Warstwa ścieralna z kostki betonowej bezfazowej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</si>
  <si>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Podbudowa drogi z kruszywa łamanego stabilizowanego mechanicznie o gr. 15 cm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</si>
  <si>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Kostka betonowa o grubości 8 cm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</si>
  <si>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Usunięcie istniejącej nawierzchni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</si>
  <si>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Prace wykonywane koparkami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</si>
  <si>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Formowanie i zagęszczanie nasypów z gruntu zakupionego przez Wykonawcę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</si>
  <si>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Podbudowa drogi z kruszywa łamanego - warstwa dolna o grubości 15 cm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</si>
  <si>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Mechaniczne osczyszczanie i skropienie emulcją asfaltową na zimno podbudowy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</si>
  <si>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Nawierzchnia z mieszanek mineralno-bitumicznych o grubości 5 cm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</si>
  <si>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r>
      <t>km</t>
    </r>
    <r>
      <rPr>
        <vertAlign val="superscript"/>
        <sz val="9"/>
        <color theme="1"/>
        <rFont val="Tahoma"/>
        <family val="2"/>
        <charset val="238"/>
      </rPr>
      <t>2</t>
    </r>
  </si>
  <si>
    <r>
      <t>m</t>
    </r>
    <r>
      <rPr>
        <vertAlign val="superscript"/>
        <sz val="9"/>
        <color theme="1"/>
        <rFont val="Tahoma"/>
        <family val="2"/>
        <charset val="238"/>
      </rPr>
      <t>2</t>
    </r>
  </si>
  <si>
    <t>Próby szczelności instalacji, rozruch [kpl.]</t>
  </si>
  <si>
    <r>
      <t>Wywiezienie gruzu spryzmowanego [m</t>
    </r>
    <r>
      <rPr>
        <vertAlign val="superscript"/>
        <sz val="9"/>
        <color theme="1"/>
        <rFont val="Tahoma"/>
        <family val="2"/>
        <charset val="238"/>
      </rPr>
      <t>3</t>
    </r>
    <r>
      <rPr>
        <sz val="9"/>
        <color theme="1"/>
        <rFont val="Tahoma"/>
        <family val="2"/>
        <charset val="238"/>
      </rPr>
      <t>]</t>
    </r>
  </si>
  <si>
    <r>
      <t>Dostosowanie pomieszczenia kotłowni [m</t>
    </r>
    <r>
      <rPr>
        <vertAlign val="superscript"/>
        <sz val="9"/>
        <color theme="1"/>
        <rFont val="Tahoma"/>
        <family val="2"/>
        <charset val="238"/>
      </rPr>
      <t>2</t>
    </r>
    <r>
      <rPr>
        <sz val="9"/>
        <color theme="1"/>
        <rFont val="Tahoma"/>
        <family val="2"/>
        <charset val="238"/>
      </rPr>
      <t>]</t>
    </r>
  </si>
  <si>
    <t>Wykonanie nowych grzejników [szt.]</t>
  </si>
  <si>
    <t>Wykonanie nowej armatury [mb]</t>
  </si>
  <si>
    <t>Oświetlenie - 38 lamp, 6x ewakuacyjne</t>
  </si>
  <si>
    <t>Remont instalacji wod-kan [kpl.]</t>
  </si>
  <si>
    <t>Załącznik nr X. Szacunkowe zestawienie ilości robót do wykonania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</si>
</sst>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00"/>
  </numFmts>
  <fonts count="15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i/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b/>
      <i/>
      <u/>
      <sz val="9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2" fillId="3" borderId="1" xfId="0" quotePrefix="1" applyFont="1" applyFill="1" applyBorder="1" applyAlignment="1">
      <alignment horizontal="center" vertical="center"/>
    </xf>
    <xf numFmtId="44" fontId="2" fillId="3" borderId="1" xfId="1" quotePrefix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3" borderId="1" xfId="0" quotePrefix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44" fontId="5" fillId="0" borderId="1" xfId="1" applyFont="1" applyBorder="1" applyAlignment="1">
      <alignment vertical="center"/>
    </xf>
    <xf numFmtId="44" fontId="7" fillId="3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4" fontId="2" fillId="0" borderId="12" xfId="1" applyFont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4" fontId="7" fillId="4" borderId="1" xfId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vertical="center"/>
    </xf>
    <xf numFmtId="44" fontId="10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4" fontId="12" fillId="4" borderId="4" xfId="1" applyFont="1" applyFill="1" applyBorder="1" applyAlignment="1">
      <alignment vertical="center"/>
    </xf>
    <xf numFmtId="44" fontId="12" fillId="4" borderId="6" xfId="1" applyFont="1" applyFill="1" applyBorder="1" applyAlignment="1">
      <alignment vertical="center"/>
    </xf>
    <xf numFmtId="44" fontId="12" fillId="4" borderId="9" xfId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vertical="center"/>
    </xf>
    <xf numFmtId="4" fontId="2" fillId="0" borderId="0" xfId="0" applyNumberFormat="1" applyFont="1" applyAlignment="1">
      <alignment horizontal="left" vertical="center"/>
    </xf>
    <xf numFmtId="4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5" xfId="0" quotePrefix="1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4" fontId="5" fillId="0" borderId="6" xfId="1" applyFont="1" applyBorder="1" applyAlignment="1">
      <alignment horizontal="center" vertical="center"/>
    </xf>
    <xf numFmtId="44" fontId="5" fillId="0" borderId="9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 indent="1"/>
    </xf>
    <xf numFmtId="0" fontId="9" fillId="2" borderId="1" xfId="0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right" vertical="center" indent="1"/>
    </xf>
    <xf numFmtId="0" fontId="11" fillId="4" borderId="8" xfId="0" applyNumberFormat="1" applyFont="1" applyFill="1" applyBorder="1" applyAlignment="1">
      <alignment horizontal="right" vertical="center" indent="1"/>
    </xf>
    <xf numFmtId="0" fontId="11" fillId="4" borderId="3" xfId="0" applyNumberFormat="1" applyFont="1" applyFill="1" applyBorder="1" applyAlignment="1">
      <alignment horizontal="right" vertical="center" indent="1"/>
    </xf>
    <xf numFmtId="0" fontId="11" fillId="4" borderId="2" xfId="0" applyNumberFormat="1" applyFont="1" applyFill="1" applyBorder="1" applyAlignment="1">
      <alignment horizontal="right" vertical="center" indent="1"/>
    </xf>
    <xf numFmtId="0" fontId="11" fillId="4" borderId="5" xfId="0" applyNumberFormat="1" applyFont="1" applyFill="1" applyBorder="1" applyAlignment="1">
      <alignment horizontal="right" vertical="center" indent="1"/>
    </xf>
    <xf numFmtId="0" fontId="11" fillId="4" borderId="0" xfId="0" applyNumberFormat="1" applyFont="1" applyFill="1" applyBorder="1" applyAlignment="1">
      <alignment horizontal="right" vertical="center" inden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99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showGridLines="0" tabSelected="1" view="pageBreakPreview" topLeftCell="A112" zoomScale="60" zoomScaleNormal="160" workbookViewId="0">
      <selection activeCell="N48" sqref="N48"/>
    </sheetView>
  </sheetViews>
  <sheetFormatPr defaultColWidth="7.140625" defaultRowHeight="18.75" customHeight="1" x14ac:dyDescent="0.2"/>
  <cols>
    <col min="1" max="1" width="7.140625" style="3"/>
    <col min="2" max="2" width="42.28515625" style="1" customWidth="1"/>
    <col min="3" max="3" width="12" style="11" customWidth="1"/>
    <col min="4" max="4" width="12.85546875" style="5" customWidth="1"/>
    <col min="5" max="5" width="14.42578125" style="5" customWidth="1"/>
    <col min="6" max="6" width="7.140625" style="1"/>
    <col min="7" max="7" width="13.7109375" style="1" bestFit="1" customWidth="1"/>
    <col min="8" max="8" width="13.7109375" style="2" bestFit="1" customWidth="1"/>
    <col min="9" max="12" width="7.140625" style="1"/>
    <col min="13" max="13" width="7.140625" style="1" customWidth="1"/>
    <col min="14" max="14" width="13.42578125" style="1" customWidth="1"/>
    <col min="15" max="15" width="7.140625" style="3"/>
    <col min="16" max="16384" width="7.140625" style="1"/>
  </cols>
  <sheetData>
    <row r="1" spans="1:15" ht="18.75" customHeight="1" x14ac:dyDescent="0.2">
      <c r="A1" s="24" t="s">
        <v>78</v>
      </c>
    </row>
    <row r="2" spans="1:15" ht="18.75" customHeight="1" x14ac:dyDescent="0.2">
      <c r="A2" s="2" t="s">
        <v>212</v>
      </c>
    </row>
    <row r="3" spans="1:15" ht="18.75" customHeight="1" x14ac:dyDescent="0.2">
      <c r="A3" s="2"/>
    </row>
    <row r="4" spans="1:15" s="5" customFormat="1" ht="18.75" customHeight="1" x14ac:dyDescent="0.2">
      <c r="A4" s="2"/>
      <c r="B4" s="45" t="s">
        <v>79</v>
      </c>
      <c r="C4" s="46"/>
      <c r="D4" s="47"/>
      <c r="F4" s="1"/>
      <c r="G4" s="1"/>
      <c r="H4" s="2"/>
      <c r="I4" s="1"/>
      <c r="J4" s="1"/>
      <c r="K4" s="1"/>
      <c r="L4" s="1"/>
      <c r="M4" s="1"/>
      <c r="N4" s="1"/>
      <c r="O4" s="3"/>
    </row>
    <row r="5" spans="1:15" s="5" customFormat="1" ht="18.75" customHeight="1" x14ac:dyDescent="0.2">
      <c r="A5" s="2"/>
      <c r="B5" s="56" t="s">
        <v>82</v>
      </c>
      <c r="C5" s="57">
        <f>440.55/1000</f>
        <v>0.44055</v>
      </c>
      <c r="D5" s="58" t="s">
        <v>53</v>
      </c>
      <c r="F5" s="1"/>
      <c r="G5" s="1"/>
      <c r="H5" s="2"/>
      <c r="I5" s="1"/>
      <c r="J5" s="1"/>
      <c r="K5" s="1"/>
      <c r="L5" s="1"/>
      <c r="M5" s="1"/>
      <c r="N5" s="1"/>
      <c r="O5" s="3"/>
    </row>
    <row r="6" spans="1:15" s="5" customFormat="1" ht="18.75" customHeight="1" x14ac:dyDescent="0.2">
      <c r="A6" s="2"/>
      <c r="B6" s="56" t="s">
        <v>89</v>
      </c>
      <c r="C6" s="57">
        <f>103.5/1000</f>
        <v>0.10349999999999999</v>
      </c>
      <c r="D6" s="58" t="s">
        <v>53</v>
      </c>
      <c r="F6" s="1"/>
      <c r="G6" s="1"/>
      <c r="H6" s="2"/>
      <c r="I6" s="1"/>
      <c r="J6" s="1"/>
      <c r="K6" s="1"/>
      <c r="L6" s="1"/>
      <c r="M6" s="1"/>
      <c r="N6" s="1"/>
      <c r="O6" s="3"/>
    </row>
    <row r="7" spans="1:15" s="5" customFormat="1" ht="18.75" customHeight="1" x14ac:dyDescent="0.2">
      <c r="A7" s="2"/>
      <c r="B7" s="56" t="s">
        <v>90</v>
      </c>
      <c r="C7" s="57">
        <f>448.91/1000</f>
        <v>0.44891000000000003</v>
      </c>
      <c r="D7" s="58" t="s">
        <v>53</v>
      </c>
      <c r="F7" s="1"/>
      <c r="G7" s="1"/>
      <c r="H7" s="2"/>
      <c r="I7" s="1"/>
      <c r="J7" s="1"/>
      <c r="K7" s="1"/>
      <c r="L7" s="1"/>
      <c r="M7" s="1"/>
      <c r="N7" s="1"/>
      <c r="O7" s="3"/>
    </row>
    <row r="8" spans="1:15" s="5" customFormat="1" ht="18.75" customHeight="1" x14ac:dyDescent="0.2">
      <c r="A8" s="2"/>
      <c r="B8" s="56" t="s">
        <v>91</v>
      </c>
      <c r="C8" s="57">
        <f>147.62/1000</f>
        <v>0.14762</v>
      </c>
      <c r="D8" s="58" t="s">
        <v>53</v>
      </c>
      <c r="F8" s="1"/>
      <c r="G8" s="1"/>
      <c r="H8" s="2"/>
      <c r="I8" s="1"/>
      <c r="J8" s="1"/>
      <c r="K8" s="1"/>
      <c r="L8" s="1"/>
      <c r="M8" s="1"/>
      <c r="N8" s="1"/>
      <c r="O8" s="3"/>
    </row>
    <row r="9" spans="1:15" s="5" customFormat="1" ht="18.75" customHeight="1" x14ac:dyDescent="0.2">
      <c r="A9" s="2"/>
      <c r="B9" s="56" t="s">
        <v>92</v>
      </c>
      <c r="C9" s="57">
        <f>115.93/1000</f>
        <v>0.11593000000000001</v>
      </c>
      <c r="D9" s="58" t="s">
        <v>53</v>
      </c>
      <c r="F9" s="1"/>
      <c r="G9" s="1"/>
      <c r="H9" s="2"/>
      <c r="I9" s="1"/>
      <c r="J9" s="1"/>
      <c r="K9" s="1"/>
      <c r="L9" s="1"/>
      <c r="M9" s="1"/>
      <c r="N9" s="1"/>
      <c r="O9" s="3"/>
    </row>
    <row r="10" spans="1:15" s="5" customFormat="1" ht="18.75" customHeight="1" x14ac:dyDescent="0.2">
      <c r="A10" s="2"/>
      <c r="B10" s="56" t="s">
        <v>93</v>
      </c>
      <c r="C10" s="57">
        <f>153.95/1000</f>
        <v>0.15394999999999998</v>
      </c>
      <c r="D10" s="58" t="s">
        <v>53</v>
      </c>
      <c r="F10" s="1"/>
      <c r="G10" s="1"/>
      <c r="H10" s="2"/>
      <c r="I10" s="1"/>
      <c r="J10" s="1"/>
      <c r="K10" s="1"/>
      <c r="L10" s="1"/>
      <c r="M10" s="1"/>
      <c r="N10" s="1"/>
      <c r="O10" s="3"/>
    </row>
    <row r="11" spans="1:15" s="5" customFormat="1" ht="18.75" customHeight="1" x14ac:dyDescent="0.2">
      <c r="A11" s="2"/>
      <c r="B11" s="56" t="s">
        <v>94</v>
      </c>
      <c r="C11" s="57">
        <f>102.95/1000</f>
        <v>0.10295</v>
      </c>
      <c r="D11" s="58" t="s">
        <v>53</v>
      </c>
      <c r="F11" s="1"/>
      <c r="G11" s="1"/>
      <c r="H11" s="2"/>
      <c r="I11" s="1"/>
      <c r="J11" s="1"/>
      <c r="K11" s="1"/>
      <c r="L11" s="1"/>
      <c r="M11" s="1"/>
      <c r="N11" s="1"/>
      <c r="O11" s="3"/>
    </row>
    <row r="12" spans="1:15" s="5" customFormat="1" ht="18.75" customHeight="1" x14ac:dyDescent="0.2">
      <c r="A12" s="2"/>
      <c r="B12" s="56" t="s">
        <v>95</v>
      </c>
      <c r="C12" s="57">
        <f>207.18/1000</f>
        <v>0.20718</v>
      </c>
      <c r="D12" s="58" t="s">
        <v>53</v>
      </c>
      <c r="F12" s="1"/>
      <c r="G12" s="1"/>
      <c r="H12" s="2"/>
      <c r="I12" s="1"/>
      <c r="J12" s="1"/>
      <c r="K12" s="1"/>
      <c r="L12" s="1"/>
      <c r="M12" s="1"/>
      <c r="N12" s="1"/>
      <c r="O12" s="3"/>
    </row>
    <row r="13" spans="1:15" s="5" customFormat="1" ht="18.75" customHeight="1" x14ac:dyDescent="0.2">
      <c r="A13" s="2"/>
      <c r="B13" s="56" t="s">
        <v>52</v>
      </c>
      <c r="C13" s="57">
        <f>SUM(C5:C12)</f>
        <v>1.7205900000000003</v>
      </c>
      <c r="D13" s="58" t="s">
        <v>53</v>
      </c>
      <c r="F13" s="1"/>
      <c r="H13" s="2"/>
      <c r="I13" s="1"/>
      <c r="J13" s="1"/>
      <c r="K13" s="1"/>
      <c r="L13" s="1"/>
      <c r="M13" s="1"/>
      <c r="N13" s="1"/>
      <c r="O13" s="3"/>
    </row>
    <row r="14" spans="1:15" s="5" customFormat="1" ht="18.75" customHeight="1" x14ac:dyDescent="0.2">
      <c r="A14" s="2"/>
      <c r="B14" s="56" t="s">
        <v>61</v>
      </c>
      <c r="C14" s="57">
        <v>5</v>
      </c>
      <c r="D14" s="58" t="s">
        <v>51</v>
      </c>
      <c r="F14" s="1"/>
      <c r="H14" s="2"/>
      <c r="I14" s="1"/>
      <c r="J14" s="1"/>
      <c r="K14" s="1"/>
      <c r="L14" s="1"/>
      <c r="M14" s="1"/>
      <c r="N14" s="1"/>
      <c r="O14" s="3"/>
    </row>
    <row r="15" spans="1:15" s="5" customFormat="1" ht="18.75" customHeight="1" x14ac:dyDescent="0.2">
      <c r="A15" s="2"/>
      <c r="B15" s="56" t="s">
        <v>56</v>
      </c>
      <c r="C15" s="57">
        <f>C13*C14</f>
        <v>8.6029500000000017</v>
      </c>
      <c r="D15" s="58" t="s">
        <v>203</v>
      </c>
      <c r="F15" s="1"/>
      <c r="H15" s="2"/>
      <c r="I15" s="1"/>
      <c r="J15" s="1"/>
      <c r="K15" s="1"/>
      <c r="L15" s="1"/>
      <c r="M15" s="1"/>
      <c r="N15" s="1"/>
      <c r="O15" s="3"/>
    </row>
    <row r="16" spans="1:15" s="5" customFormat="1" ht="18.75" customHeight="1" x14ac:dyDescent="0.2">
      <c r="A16" s="2"/>
      <c r="B16" s="59" t="s">
        <v>56</v>
      </c>
      <c r="C16" s="60">
        <f>C15*1000</f>
        <v>8602.9500000000025</v>
      </c>
      <c r="D16" s="61" t="s">
        <v>204</v>
      </c>
      <c r="F16" s="1"/>
      <c r="G16" s="1"/>
      <c r="H16" s="2"/>
      <c r="I16" s="1"/>
      <c r="J16" s="1"/>
      <c r="K16" s="1"/>
      <c r="L16" s="1"/>
      <c r="M16" s="1"/>
      <c r="N16" s="1"/>
      <c r="O16" s="3"/>
    </row>
    <row r="17" spans="1:15" s="5" customFormat="1" ht="18.75" customHeight="1" x14ac:dyDescent="0.2">
      <c r="A17" s="2"/>
      <c r="B17" s="1"/>
      <c r="C17" s="37"/>
      <c r="F17" s="1"/>
      <c r="G17" s="1"/>
      <c r="H17" s="2"/>
      <c r="I17" s="1"/>
      <c r="J17" s="1"/>
      <c r="K17" s="1"/>
      <c r="L17" s="1"/>
      <c r="M17" s="1"/>
      <c r="N17" s="1"/>
      <c r="O17" s="3"/>
    </row>
    <row r="18" spans="1:15" s="5" customFormat="1" ht="18.75" customHeight="1" x14ac:dyDescent="0.2">
      <c r="A18" s="2"/>
      <c r="B18" s="45" t="s">
        <v>80</v>
      </c>
      <c r="C18" s="48"/>
      <c r="D18" s="49"/>
      <c r="F18" s="1"/>
      <c r="G18" s="1"/>
      <c r="H18" s="2"/>
      <c r="I18" s="1"/>
      <c r="J18" s="1"/>
      <c r="K18" s="1"/>
      <c r="L18" s="1"/>
      <c r="M18" s="1"/>
      <c r="N18" s="1"/>
      <c r="O18" s="3"/>
    </row>
    <row r="19" spans="1:15" s="39" customFormat="1" ht="18.75" customHeight="1" x14ac:dyDescent="0.2">
      <c r="A19" s="24"/>
      <c r="B19" s="62" t="s">
        <v>81</v>
      </c>
      <c r="C19" s="63">
        <f>C20+C21+C22+C23+C24+C25</f>
        <v>1.1557500000000001</v>
      </c>
      <c r="D19" s="64" t="s">
        <v>53</v>
      </c>
      <c r="F19" s="40"/>
      <c r="G19" s="40"/>
      <c r="H19" s="24"/>
      <c r="I19" s="40"/>
      <c r="J19" s="40"/>
      <c r="K19" s="40"/>
      <c r="L19" s="40"/>
      <c r="M19" s="40"/>
      <c r="N19" s="40"/>
      <c r="O19" s="41"/>
    </row>
    <row r="20" spans="1:15" s="5" customFormat="1" ht="18.75" customHeight="1" x14ac:dyDescent="0.2">
      <c r="A20" s="2"/>
      <c r="B20" s="56" t="s">
        <v>82</v>
      </c>
      <c r="C20" s="57">
        <f>C5</f>
        <v>0.44055</v>
      </c>
      <c r="D20" s="58" t="s">
        <v>53</v>
      </c>
      <c r="F20" s="1"/>
      <c r="G20" s="1"/>
      <c r="H20" s="2"/>
      <c r="I20" s="1"/>
      <c r="J20" s="1"/>
      <c r="K20" s="1"/>
      <c r="L20" s="1"/>
      <c r="M20" s="1"/>
      <c r="N20" s="1"/>
      <c r="O20" s="3"/>
    </row>
    <row r="21" spans="1:15" s="5" customFormat="1" ht="18.75" customHeight="1" x14ac:dyDescent="0.2">
      <c r="A21" s="2"/>
      <c r="B21" s="56" t="s">
        <v>83</v>
      </c>
      <c r="C21" s="57">
        <f>C10</f>
        <v>0.15394999999999998</v>
      </c>
      <c r="D21" s="58" t="s">
        <v>53</v>
      </c>
      <c r="F21" s="1"/>
      <c r="G21" s="1"/>
      <c r="H21" s="2"/>
      <c r="I21" s="1"/>
      <c r="J21" s="1"/>
      <c r="K21" s="1"/>
      <c r="L21" s="1"/>
      <c r="M21" s="1"/>
      <c r="N21" s="1"/>
      <c r="O21" s="3"/>
    </row>
    <row r="22" spans="1:15" s="5" customFormat="1" ht="18.75" customHeight="1" x14ac:dyDescent="0.2">
      <c r="A22" s="2"/>
      <c r="B22" s="56" t="s">
        <v>84</v>
      </c>
      <c r="C22" s="57">
        <f>C12</f>
        <v>0.20718</v>
      </c>
      <c r="D22" s="58" t="s">
        <v>53</v>
      </c>
      <c r="F22" s="1"/>
      <c r="G22" s="1"/>
      <c r="H22" s="2"/>
      <c r="I22" s="1"/>
      <c r="J22" s="1"/>
      <c r="K22" s="1"/>
      <c r="L22" s="1"/>
      <c r="M22" s="1"/>
      <c r="N22" s="1"/>
      <c r="O22" s="3"/>
    </row>
    <row r="23" spans="1:15" s="5" customFormat="1" ht="18.75" customHeight="1" x14ac:dyDescent="0.2">
      <c r="A23" s="2"/>
      <c r="B23" s="56" t="s">
        <v>91</v>
      </c>
      <c r="C23" s="57">
        <f>C8</f>
        <v>0.14762</v>
      </c>
      <c r="D23" s="58" t="s">
        <v>53</v>
      </c>
      <c r="F23" s="1"/>
      <c r="G23" s="1"/>
      <c r="H23" s="2"/>
      <c r="I23" s="1"/>
      <c r="J23" s="1"/>
      <c r="K23" s="1"/>
      <c r="L23" s="1"/>
      <c r="M23" s="1"/>
      <c r="N23" s="1"/>
      <c r="O23" s="3"/>
    </row>
    <row r="24" spans="1:15" s="5" customFormat="1" ht="18.75" customHeight="1" x14ac:dyDescent="0.2">
      <c r="A24" s="2"/>
      <c r="B24" s="56" t="s">
        <v>85</v>
      </c>
      <c r="C24" s="57">
        <f>C6</f>
        <v>0.10349999999999999</v>
      </c>
      <c r="D24" s="58" t="s">
        <v>53</v>
      </c>
      <c r="F24" s="1"/>
      <c r="G24" s="1"/>
      <c r="H24" s="2"/>
      <c r="I24" s="1"/>
      <c r="J24" s="1"/>
      <c r="K24" s="1"/>
      <c r="L24" s="1"/>
      <c r="M24" s="1"/>
      <c r="N24" s="1"/>
      <c r="O24" s="3"/>
    </row>
    <row r="25" spans="1:15" s="5" customFormat="1" ht="18.75" customHeight="1" x14ac:dyDescent="0.2">
      <c r="A25" s="2"/>
      <c r="B25" s="56" t="s">
        <v>86</v>
      </c>
      <c r="C25" s="57">
        <f>C11</f>
        <v>0.10295</v>
      </c>
      <c r="D25" s="58" t="s">
        <v>53</v>
      </c>
      <c r="F25" s="1"/>
      <c r="G25" s="1"/>
      <c r="H25" s="2"/>
      <c r="I25" s="1"/>
      <c r="J25" s="1"/>
      <c r="K25" s="1"/>
      <c r="L25" s="1"/>
      <c r="M25" s="1"/>
      <c r="N25" s="1"/>
      <c r="O25" s="3"/>
    </row>
    <row r="26" spans="1:15" s="39" customFormat="1" ht="18.75" customHeight="1" x14ac:dyDescent="0.2">
      <c r="A26" s="24"/>
      <c r="B26" s="62" t="s">
        <v>87</v>
      </c>
      <c r="C26" s="63">
        <f>C27</f>
        <v>0.89782000000000006</v>
      </c>
      <c r="D26" s="64" t="s">
        <v>53</v>
      </c>
      <c r="F26" s="40"/>
      <c r="G26" s="40"/>
      <c r="H26" s="24"/>
      <c r="I26" s="40"/>
      <c r="J26" s="40"/>
      <c r="K26" s="40"/>
      <c r="L26" s="40"/>
      <c r="M26" s="40"/>
      <c r="N26" s="40"/>
      <c r="O26" s="41"/>
    </row>
    <row r="27" spans="1:15" s="5" customFormat="1" ht="18.75" customHeight="1" x14ac:dyDescent="0.2">
      <c r="A27" s="2"/>
      <c r="B27" s="56" t="s">
        <v>88</v>
      </c>
      <c r="C27" s="57">
        <f>C7*2</f>
        <v>0.89782000000000006</v>
      </c>
      <c r="D27" s="58" t="s">
        <v>53</v>
      </c>
      <c r="F27" s="1"/>
      <c r="G27" s="1"/>
      <c r="H27" s="2"/>
      <c r="I27" s="1"/>
      <c r="J27" s="1"/>
      <c r="K27" s="1"/>
      <c r="L27" s="1"/>
      <c r="M27" s="1"/>
      <c r="N27" s="1"/>
      <c r="O27" s="3"/>
    </row>
    <row r="28" spans="1:15" s="5" customFormat="1" ht="18.75" customHeight="1" x14ac:dyDescent="0.2">
      <c r="A28" s="2"/>
      <c r="B28" s="56" t="s">
        <v>54</v>
      </c>
      <c r="C28" s="57">
        <f>C19+C26</f>
        <v>2.0535700000000001</v>
      </c>
      <c r="D28" s="58" t="s">
        <v>53</v>
      </c>
      <c r="F28" s="1"/>
      <c r="G28" s="1"/>
      <c r="H28" s="2"/>
      <c r="I28" s="1"/>
      <c r="J28" s="1"/>
      <c r="K28" s="1"/>
      <c r="L28" s="1"/>
      <c r="M28" s="1"/>
      <c r="N28" s="1"/>
      <c r="O28" s="3"/>
    </row>
    <row r="29" spans="1:15" s="5" customFormat="1" ht="18.75" customHeight="1" x14ac:dyDescent="0.2">
      <c r="A29" s="2"/>
      <c r="B29" s="56" t="s">
        <v>63</v>
      </c>
      <c r="C29" s="57">
        <v>2</v>
      </c>
      <c r="D29" s="58" t="s">
        <v>51</v>
      </c>
      <c r="F29" s="1"/>
      <c r="G29" s="1"/>
      <c r="H29" s="2"/>
      <c r="I29" s="1"/>
      <c r="J29" s="1"/>
      <c r="K29" s="1"/>
      <c r="L29" s="1"/>
      <c r="M29" s="1"/>
      <c r="N29" s="1"/>
      <c r="O29" s="3"/>
    </row>
    <row r="30" spans="1:15" s="5" customFormat="1" ht="18.75" customHeight="1" x14ac:dyDescent="0.2">
      <c r="A30" s="2"/>
      <c r="B30" s="56" t="s">
        <v>58</v>
      </c>
      <c r="C30" s="57">
        <f>C28*C29</f>
        <v>4.1071400000000002</v>
      </c>
      <c r="D30" s="58" t="s">
        <v>203</v>
      </c>
      <c r="F30" s="1"/>
      <c r="G30" s="1"/>
      <c r="H30" s="2"/>
      <c r="I30" s="1"/>
      <c r="J30" s="1"/>
      <c r="K30" s="1"/>
      <c r="L30" s="1"/>
      <c r="M30" s="1"/>
      <c r="N30" s="1"/>
      <c r="O30" s="3"/>
    </row>
    <row r="31" spans="1:15" ht="18.75" customHeight="1" x14ac:dyDescent="0.2">
      <c r="A31" s="2"/>
      <c r="B31" s="59" t="s">
        <v>58</v>
      </c>
      <c r="C31" s="60">
        <f>C30*1000</f>
        <v>4107.1400000000003</v>
      </c>
      <c r="D31" s="61" t="s">
        <v>204</v>
      </c>
    </row>
    <row r="32" spans="1:15" ht="18.75" customHeight="1" x14ac:dyDescent="0.2">
      <c r="A32" s="2"/>
    </row>
    <row r="33" spans="1:14" ht="18.75" customHeight="1" x14ac:dyDescent="0.2">
      <c r="A33" s="2"/>
      <c r="B33" s="45" t="s">
        <v>98</v>
      </c>
      <c r="C33" s="50"/>
      <c r="D33" s="49"/>
    </row>
    <row r="34" spans="1:14" ht="18.75" customHeight="1" x14ac:dyDescent="0.2">
      <c r="A34" s="2"/>
      <c r="B34" s="56" t="s">
        <v>99</v>
      </c>
      <c r="C34" s="65">
        <f>C35/1000</f>
        <v>2.069</v>
      </c>
      <c r="D34" s="58" t="s">
        <v>203</v>
      </c>
    </row>
    <row r="35" spans="1:14" ht="18.75" customHeight="1" x14ac:dyDescent="0.2">
      <c r="A35" s="2"/>
      <c r="B35" s="59"/>
      <c r="C35" s="66">
        <v>2069</v>
      </c>
      <c r="D35" s="61" t="s">
        <v>204</v>
      </c>
    </row>
    <row r="36" spans="1:14" ht="18.75" customHeight="1" x14ac:dyDescent="0.2">
      <c r="A36" s="2"/>
    </row>
    <row r="37" spans="1:14" ht="18.75" customHeight="1" x14ac:dyDescent="0.2">
      <c r="A37" s="2"/>
      <c r="B37" s="45" t="s">
        <v>107</v>
      </c>
      <c r="C37" s="50"/>
      <c r="D37" s="49"/>
    </row>
    <row r="38" spans="1:14" ht="18.75" customHeight="1" x14ac:dyDescent="0.2">
      <c r="A38" s="2"/>
      <c r="B38" s="56" t="s">
        <v>96</v>
      </c>
      <c r="C38" s="65">
        <f>C13</f>
        <v>1.7205900000000003</v>
      </c>
      <c r="D38" s="67" t="s">
        <v>53</v>
      </c>
    </row>
    <row r="39" spans="1:14" ht="18.75" customHeight="1" x14ac:dyDescent="0.2">
      <c r="A39" s="2"/>
      <c r="B39" s="59" t="s">
        <v>96</v>
      </c>
      <c r="C39" s="66">
        <f>C38*1000</f>
        <v>1720.5900000000004</v>
      </c>
      <c r="D39" s="68" t="s">
        <v>51</v>
      </c>
    </row>
    <row r="40" spans="1:14" ht="18.75" customHeight="1" x14ac:dyDescent="0.2">
      <c r="A40" s="2"/>
    </row>
    <row r="41" spans="1:14" ht="18.75" customHeight="1" x14ac:dyDescent="0.2">
      <c r="A41" s="2"/>
    </row>
    <row r="42" spans="1:14" ht="18.75" customHeight="1" x14ac:dyDescent="0.2">
      <c r="A42" s="2"/>
    </row>
    <row r="43" spans="1:14" s="4" customFormat="1" ht="30" customHeight="1" x14ac:dyDescent="0.2">
      <c r="A43" s="8" t="s">
        <v>0</v>
      </c>
      <c r="B43" s="8" t="s">
        <v>1</v>
      </c>
      <c r="C43" s="12" t="s">
        <v>2</v>
      </c>
      <c r="D43" s="34" t="s">
        <v>3</v>
      </c>
      <c r="E43" s="9" t="s">
        <v>4</v>
      </c>
      <c r="H43" s="10"/>
    </row>
    <row r="44" spans="1:14" s="3" customFormat="1" ht="18.75" customHeight="1" x14ac:dyDescent="0.2">
      <c r="A44" s="6" t="s">
        <v>5</v>
      </c>
      <c r="B44" s="6" t="s">
        <v>6</v>
      </c>
      <c r="C44" s="13" t="s">
        <v>7</v>
      </c>
      <c r="D44" s="7" t="s">
        <v>8</v>
      </c>
      <c r="E44" s="7" t="s">
        <v>9</v>
      </c>
      <c r="H44" s="2"/>
      <c r="N44" s="11"/>
    </row>
    <row r="45" spans="1:14" ht="18.75" customHeight="1" x14ac:dyDescent="0.2">
      <c r="A45" s="16" t="s">
        <v>10</v>
      </c>
      <c r="B45" s="17" t="s">
        <v>15</v>
      </c>
      <c r="C45" s="33">
        <v>1</v>
      </c>
      <c r="D45" s="18"/>
      <c r="E45" s="18">
        <f>C45*D45</f>
        <v>0</v>
      </c>
      <c r="N45" s="11"/>
    </row>
    <row r="46" spans="1:14" ht="18.75" customHeight="1" x14ac:dyDescent="0.2">
      <c r="A46" s="71" t="s">
        <v>13</v>
      </c>
      <c r="B46" s="71"/>
      <c r="C46" s="71"/>
      <c r="D46" s="71"/>
      <c r="E46" s="19">
        <f>E45</f>
        <v>0</v>
      </c>
      <c r="N46" s="11"/>
    </row>
    <row r="47" spans="1:14" ht="18.75" customHeight="1" x14ac:dyDescent="0.2">
      <c r="A47" s="72" t="s">
        <v>28</v>
      </c>
      <c r="B47" s="72"/>
      <c r="C47" s="72"/>
      <c r="D47" s="72"/>
      <c r="E47" s="72"/>
    </row>
    <row r="48" spans="1:14" ht="30" customHeight="1" x14ac:dyDescent="0.2">
      <c r="A48" s="16" t="s">
        <v>14</v>
      </c>
      <c r="B48" s="54" t="s">
        <v>20</v>
      </c>
      <c r="C48" s="33">
        <f>C13</f>
        <v>1.7205900000000003</v>
      </c>
      <c r="D48" s="18"/>
      <c r="E48" s="18">
        <f>C48*D48</f>
        <v>0</v>
      </c>
    </row>
    <row r="49" spans="1:5" ht="30" customHeight="1" x14ac:dyDescent="0.2">
      <c r="A49" s="16" t="s">
        <v>17</v>
      </c>
      <c r="B49" s="54" t="s">
        <v>21</v>
      </c>
      <c r="C49" s="33">
        <v>0.2</v>
      </c>
      <c r="D49" s="18"/>
      <c r="E49" s="18">
        <f>C49*D49</f>
        <v>0</v>
      </c>
    </row>
    <row r="50" spans="1:5" ht="18.75" customHeight="1" x14ac:dyDescent="0.2">
      <c r="A50" s="71" t="s">
        <v>16</v>
      </c>
      <c r="B50" s="71"/>
      <c r="C50" s="71"/>
      <c r="D50" s="71"/>
      <c r="E50" s="19">
        <f>+E48+E49</f>
        <v>0</v>
      </c>
    </row>
    <row r="51" spans="1:5" ht="18.75" customHeight="1" x14ac:dyDescent="0.2">
      <c r="A51" s="16" t="s">
        <v>19</v>
      </c>
      <c r="B51" s="55" t="s">
        <v>183</v>
      </c>
      <c r="C51" s="33">
        <f>(C5*C14+C9*C14+C10*C14+C7/2*C14+C6/2*C14)*1000</f>
        <v>4933.1750000000002</v>
      </c>
      <c r="D51" s="18"/>
      <c r="E51" s="18">
        <f t="shared" ref="E51:E54" si="0">C51*D51</f>
        <v>0</v>
      </c>
    </row>
    <row r="52" spans="1:5" ht="18.75" customHeight="1" x14ac:dyDescent="0.2">
      <c r="A52" s="16" t="s">
        <v>22</v>
      </c>
      <c r="B52" s="55" t="s">
        <v>197</v>
      </c>
      <c r="C52" s="33">
        <f>C16-C51</f>
        <v>3669.7750000000024</v>
      </c>
      <c r="D52" s="18"/>
      <c r="E52" s="18">
        <f t="shared" si="0"/>
        <v>0</v>
      </c>
    </row>
    <row r="53" spans="1:5" ht="18.75" customHeight="1" x14ac:dyDescent="0.2">
      <c r="A53" s="16" t="s">
        <v>23</v>
      </c>
      <c r="B53" s="55" t="s">
        <v>198</v>
      </c>
      <c r="C53" s="33">
        <f>C16*26.8%</f>
        <v>2305.5906000000009</v>
      </c>
      <c r="D53" s="18"/>
      <c r="E53" s="18">
        <f t="shared" si="0"/>
        <v>0</v>
      </c>
    </row>
    <row r="54" spans="1:5" ht="30" customHeight="1" x14ac:dyDescent="0.2">
      <c r="A54" s="16" t="s">
        <v>29</v>
      </c>
      <c r="B54" s="54" t="s">
        <v>199</v>
      </c>
      <c r="C54" s="33">
        <f>C16*6.51%</f>
        <v>560.05204500000013</v>
      </c>
      <c r="D54" s="18"/>
      <c r="E54" s="18">
        <f t="shared" si="0"/>
        <v>0</v>
      </c>
    </row>
    <row r="55" spans="1:5" ht="18.75" customHeight="1" x14ac:dyDescent="0.2">
      <c r="A55" s="71" t="s">
        <v>27</v>
      </c>
      <c r="B55" s="71"/>
      <c r="C55" s="71"/>
      <c r="D55" s="71"/>
      <c r="E55" s="19">
        <f>+E51+E53+E54+E52</f>
        <v>0</v>
      </c>
    </row>
    <row r="56" spans="1:5" ht="18.75" customHeight="1" x14ac:dyDescent="0.2">
      <c r="A56" s="16" t="s">
        <v>30</v>
      </c>
      <c r="B56" s="54" t="s">
        <v>190</v>
      </c>
      <c r="C56" s="33">
        <f>C16+C13*1000*2*0.07</f>
        <v>8843.8326000000034</v>
      </c>
      <c r="D56" s="18"/>
      <c r="E56" s="18">
        <f>C56*D56</f>
        <v>0</v>
      </c>
    </row>
    <row r="57" spans="1:5" ht="30" customHeight="1" x14ac:dyDescent="0.2">
      <c r="A57" s="16" t="s">
        <v>31</v>
      </c>
      <c r="B57" s="54" t="s">
        <v>191</v>
      </c>
      <c r="C57" s="33">
        <f>C56</f>
        <v>8843.8326000000034</v>
      </c>
      <c r="D57" s="18"/>
      <c r="E57" s="18">
        <f t="shared" ref="E57:E61" si="1">C57*D57</f>
        <v>0</v>
      </c>
    </row>
    <row r="58" spans="1:5" ht="30" customHeight="1" x14ac:dyDescent="0.2">
      <c r="A58" s="16" t="s">
        <v>32</v>
      </c>
      <c r="B58" s="54" t="s">
        <v>192</v>
      </c>
      <c r="C58" s="33">
        <f>C56</f>
        <v>8843.8326000000034</v>
      </c>
      <c r="D58" s="18"/>
      <c r="E58" s="18">
        <f t="shared" si="1"/>
        <v>0</v>
      </c>
    </row>
    <row r="59" spans="1:5" ht="18.75" customHeight="1" x14ac:dyDescent="0.2">
      <c r="A59" s="16" t="s">
        <v>33</v>
      </c>
      <c r="B59" s="54" t="s">
        <v>193</v>
      </c>
      <c r="C59" s="33">
        <f>C56</f>
        <v>8843.8326000000034</v>
      </c>
      <c r="D59" s="18"/>
      <c r="E59" s="18">
        <f t="shared" si="1"/>
        <v>0</v>
      </c>
    </row>
    <row r="60" spans="1:5" ht="18.75" customHeight="1" x14ac:dyDescent="0.2">
      <c r="A60" s="16" t="s">
        <v>34</v>
      </c>
      <c r="B60" s="54" t="s">
        <v>194</v>
      </c>
      <c r="C60" s="33">
        <f>C16</f>
        <v>8602.9500000000025</v>
      </c>
      <c r="D60" s="18"/>
      <c r="E60" s="18">
        <f t="shared" si="1"/>
        <v>0</v>
      </c>
    </row>
    <row r="61" spans="1:5" ht="18.75" customHeight="1" x14ac:dyDescent="0.2">
      <c r="A61" s="16" t="s">
        <v>35</v>
      </c>
      <c r="B61" s="54" t="s">
        <v>73</v>
      </c>
      <c r="C61" s="33">
        <f>C13*2*1000</f>
        <v>3441.1800000000007</v>
      </c>
      <c r="D61" s="18"/>
      <c r="E61" s="18">
        <f t="shared" si="1"/>
        <v>0</v>
      </c>
    </row>
    <row r="62" spans="1:5" ht="18.75" customHeight="1" x14ac:dyDescent="0.2">
      <c r="A62" s="71" t="s">
        <v>41</v>
      </c>
      <c r="B62" s="71"/>
      <c r="C62" s="71"/>
      <c r="D62" s="71"/>
      <c r="E62" s="51">
        <f>SUM(E56:E60)</f>
        <v>0</v>
      </c>
    </row>
    <row r="63" spans="1:5" ht="18.75" customHeight="1" x14ac:dyDescent="0.2">
      <c r="A63" s="16" t="s">
        <v>36</v>
      </c>
      <c r="B63" s="54" t="s">
        <v>190</v>
      </c>
      <c r="C63" s="33">
        <f>28.4871*40</f>
        <v>1139.4840000000002</v>
      </c>
      <c r="D63" s="18"/>
      <c r="E63" s="18">
        <f t="shared" ref="E63:E74" si="2">C63*D63</f>
        <v>0</v>
      </c>
    </row>
    <row r="64" spans="1:5" ht="30" customHeight="1" x14ac:dyDescent="0.2">
      <c r="A64" s="16" t="s">
        <v>37</v>
      </c>
      <c r="B64" s="54" t="s">
        <v>191</v>
      </c>
      <c r="C64" s="33">
        <f>C63</f>
        <v>1139.4840000000002</v>
      </c>
      <c r="D64" s="18"/>
      <c r="E64" s="18">
        <f t="shared" si="2"/>
        <v>0</v>
      </c>
    </row>
    <row r="65" spans="1:15" ht="30" customHeight="1" x14ac:dyDescent="0.2">
      <c r="A65" s="16" t="s">
        <v>38</v>
      </c>
      <c r="B65" s="54" t="s">
        <v>200</v>
      </c>
      <c r="C65" s="33">
        <f>C63</f>
        <v>1139.4840000000002</v>
      </c>
      <c r="D65" s="18"/>
      <c r="E65" s="18">
        <f t="shared" si="2"/>
        <v>0</v>
      </c>
    </row>
    <row r="66" spans="1:15" ht="30" customHeight="1" x14ac:dyDescent="0.2">
      <c r="A66" s="16" t="s">
        <v>39</v>
      </c>
      <c r="B66" s="54" t="s">
        <v>201</v>
      </c>
      <c r="C66" s="33">
        <f>C63</f>
        <v>1139.4840000000002</v>
      </c>
      <c r="D66" s="18"/>
      <c r="E66" s="18">
        <f t="shared" si="2"/>
        <v>0</v>
      </c>
    </row>
    <row r="67" spans="1:15" ht="30" customHeight="1" x14ac:dyDescent="0.2">
      <c r="A67" s="16" t="s">
        <v>45</v>
      </c>
      <c r="B67" s="54" t="s">
        <v>202</v>
      </c>
      <c r="C67" s="33">
        <f>C63</f>
        <v>1139.4840000000002</v>
      </c>
      <c r="D67" s="18"/>
      <c r="E67" s="18">
        <f t="shared" si="2"/>
        <v>0</v>
      </c>
    </row>
    <row r="68" spans="1:15" ht="18.75" customHeight="1" x14ac:dyDescent="0.2">
      <c r="A68" s="71" t="s">
        <v>40</v>
      </c>
      <c r="B68" s="71"/>
      <c r="C68" s="71"/>
      <c r="D68" s="71"/>
      <c r="E68" s="19">
        <f>SUM(E63:E67)</f>
        <v>0</v>
      </c>
    </row>
    <row r="69" spans="1:15" ht="18.75" customHeight="1" x14ac:dyDescent="0.2">
      <c r="A69" s="16" t="s">
        <v>46</v>
      </c>
      <c r="B69" s="55" t="s">
        <v>43</v>
      </c>
      <c r="C69" s="33">
        <v>20</v>
      </c>
      <c r="D69" s="18"/>
      <c r="E69" s="18">
        <f t="shared" si="2"/>
        <v>0</v>
      </c>
    </row>
    <row r="70" spans="1:15" ht="18.75" customHeight="1" x14ac:dyDescent="0.2">
      <c r="A70" s="16" t="s">
        <v>47</v>
      </c>
      <c r="B70" s="55" t="s">
        <v>42</v>
      </c>
      <c r="C70" s="33">
        <v>1</v>
      </c>
      <c r="D70" s="18"/>
      <c r="E70" s="18">
        <f t="shared" si="2"/>
        <v>0</v>
      </c>
    </row>
    <row r="71" spans="1:15" s="2" customFormat="1" ht="30" customHeight="1" x14ac:dyDescent="0.2">
      <c r="A71" s="16" t="s">
        <v>48</v>
      </c>
      <c r="B71" s="54" t="s">
        <v>187</v>
      </c>
      <c r="C71" s="33">
        <f>C13*1000*1.5</f>
        <v>2580.8850000000007</v>
      </c>
      <c r="D71" s="18"/>
      <c r="E71" s="18">
        <f t="shared" si="2"/>
        <v>0</v>
      </c>
      <c r="F71" s="1"/>
      <c r="G71" s="1"/>
      <c r="I71" s="1"/>
      <c r="J71" s="1"/>
      <c r="K71" s="1"/>
      <c r="L71" s="1"/>
      <c r="M71" s="1"/>
      <c r="N71" s="1"/>
      <c r="O71" s="3"/>
    </row>
    <row r="72" spans="1:15" s="2" customFormat="1" ht="18.75" customHeight="1" x14ac:dyDescent="0.2">
      <c r="A72" s="16" t="s">
        <v>49</v>
      </c>
      <c r="B72" s="55" t="s">
        <v>188</v>
      </c>
      <c r="C72" s="33">
        <f>C71</f>
        <v>2580.8850000000007</v>
      </c>
      <c r="D72" s="18"/>
      <c r="E72" s="18">
        <f t="shared" si="2"/>
        <v>0</v>
      </c>
      <c r="F72" s="1"/>
      <c r="G72" s="1"/>
      <c r="I72" s="1"/>
      <c r="J72" s="1"/>
      <c r="K72" s="1"/>
      <c r="L72" s="1"/>
      <c r="M72" s="1"/>
      <c r="N72" s="1"/>
      <c r="O72" s="3"/>
    </row>
    <row r="73" spans="1:15" s="2" customFormat="1" ht="30" customHeight="1" x14ac:dyDescent="0.2">
      <c r="A73" s="16" t="s">
        <v>50</v>
      </c>
      <c r="B73" s="54" t="s">
        <v>189</v>
      </c>
      <c r="C73" s="33">
        <v>80</v>
      </c>
      <c r="D73" s="18"/>
      <c r="E73" s="18">
        <f t="shared" si="2"/>
        <v>0</v>
      </c>
      <c r="F73" s="1"/>
      <c r="G73" s="1"/>
      <c r="I73" s="1"/>
      <c r="J73" s="1"/>
      <c r="K73" s="1"/>
      <c r="L73" s="1"/>
      <c r="M73" s="1"/>
      <c r="N73" s="1"/>
      <c r="O73" s="3"/>
    </row>
    <row r="74" spans="1:15" s="2" customFormat="1" ht="18.75" customHeight="1" x14ac:dyDescent="0.2">
      <c r="A74" s="16" t="s">
        <v>55</v>
      </c>
      <c r="B74" s="55" t="s">
        <v>62</v>
      </c>
      <c r="C74" s="33">
        <f>C13</f>
        <v>1.7205900000000003</v>
      </c>
      <c r="D74" s="18"/>
      <c r="E74" s="18">
        <f t="shared" si="2"/>
        <v>0</v>
      </c>
      <c r="F74" s="1"/>
      <c r="G74" s="1"/>
      <c r="I74" s="1"/>
      <c r="J74" s="1"/>
      <c r="K74" s="1"/>
      <c r="L74" s="1"/>
      <c r="M74" s="1"/>
      <c r="N74" s="1"/>
      <c r="O74" s="3"/>
    </row>
    <row r="75" spans="1:15" s="2" customFormat="1" ht="18.75" customHeight="1" x14ac:dyDescent="0.2">
      <c r="A75" s="71" t="s">
        <v>44</v>
      </c>
      <c r="B75" s="71"/>
      <c r="C75" s="71"/>
      <c r="D75" s="71"/>
      <c r="E75" s="19">
        <f>SUM(E69:E74)</f>
        <v>0</v>
      </c>
      <c r="F75" s="1"/>
      <c r="G75" s="1"/>
      <c r="I75" s="1"/>
      <c r="J75" s="1"/>
      <c r="K75" s="1"/>
      <c r="L75" s="1"/>
      <c r="M75" s="1"/>
      <c r="N75" s="1"/>
      <c r="O75" s="3"/>
    </row>
    <row r="76" spans="1:15" s="2" customFormat="1" ht="18.75" customHeight="1" x14ac:dyDescent="0.2">
      <c r="A76" s="72" t="s">
        <v>97</v>
      </c>
      <c r="B76" s="72"/>
      <c r="C76" s="72"/>
      <c r="D76" s="72"/>
      <c r="E76" s="72"/>
      <c r="F76" s="1"/>
      <c r="G76" s="38"/>
      <c r="I76" s="1"/>
      <c r="J76" s="1"/>
      <c r="K76" s="1"/>
      <c r="L76" s="1"/>
      <c r="M76" s="1"/>
      <c r="N76" s="1"/>
      <c r="O76" s="3"/>
    </row>
    <row r="77" spans="1:15" s="2" customFormat="1" ht="30" customHeight="1" x14ac:dyDescent="0.2">
      <c r="A77" s="16" t="s">
        <v>64</v>
      </c>
      <c r="B77" s="54" t="s">
        <v>20</v>
      </c>
      <c r="C77" s="33">
        <f>C28</f>
        <v>2.0535700000000001</v>
      </c>
      <c r="D77" s="18">
        <f>D48</f>
        <v>0</v>
      </c>
      <c r="E77" s="18">
        <f>C77*D77</f>
        <v>0</v>
      </c>
      <c r="F77" s="1"/>
      <c r="G77" s="1"/>
      <c r="I77" s="1"/>
      <c r="J77" s="1"/>
      <c r="K77" s="1"/>
      <c r="L77" s="1"/>
      <c r="M77" s="1"/>
      <c r="N77" s="1"/>
      <c r="O77" s="3"/>
    </row>
    <row r="78" spans="1:15" s="2" customFormat="1" ht="30" customHeight="1" x14ac:dyDescent="0.2">
      <c r="A78" s="16" t="s">
        <v>65</v>
      </c>
      <c r="B78" s="54" t="s">
        <v>21</v>
      </c>
      <c r="C78" s="33">
        <v>0.05</v>
      </c>
      <c r="D78" s="18">
        <f>D49</f>
        <v>0</v>
      </c>
      <c r="E78" s="18">
        <f>C78*D78</f>
        <v>0</v>
      </c>
      <c r="F78" s="1"/>
      <c r="G78" s="1"/>
      <c r="I78" s="1"/>
      <c r="J78" s="1"/>
      <c r="K78" s="1"/>
      <c r="L78" s="1"/>
      <c r="M78" s="1"/>
      <c r="N78" s="1"/>
      <c r="O78" s="3"/>
    </row>
    <row r="79" spans="1:15" s="2" customFormat="1" ht="18.75" customHeight="1" x14ac:dyDescent="0.2">
      <c r="A79" s="71" t="s">
        <v>16</v>
      </c>
      <c r="B79" s="71"/>
      <c r="C79" s="71"/>
      <c r="D79" s="71"/>
      <c r="E79" s="19">
        <f>+E77+E78</f>
        <v>0</v>
      </c>
      <c r="F79" s="1"/>
      <c r="G79" s="1"/>
      <c r="I79" s="1"/>
      <c r="J79" s="1"/>
      <c r="K79" s="1"/>
      <c r="L79" s="1"/>
      <c r="M79" s="1"/>
      <c r="N79" s="1"/>
      <c r="O79" s="3"/>
    </row>
    <row r="80" spans="1:15" s="2" customFormat="1" ht="18.75" customHeight="1" x14ac:dyDescent="0.2">
      <c r="A80" s="16" t="s">
        <v>66</v>
      </c>
      <c r="B80" s="55" t="s">
        <v>183</v>
      </c>
      <c r="C80" s="33">
        <f>(C21*C29+C27*2*C29)*1000</f>
        <v>3899.1800000000003</v>
      </c>
      <c r="D80" s="18">
        <f>D51</f>
        <v>0</v>
      </c>
      <c r="E80" s="18">
        <f t="shared" ref="E80:E83" si="3">C80*D80</f>
        <v>0</v>
      </c>
      <c r="F80" s="1"/>
      <c r="G80" s="1"/>
      <c r="I80" s="1"/>
      <c r="J80" s="1"/>
      <c r="K80" s="1"/>
      <c r="L80" s="1"/>
      <c r="M80" s="1"/>
      <c r="N80" s="1"/>
      <c r="O80" s="3"/>
    </row>
    <row r="81" spans="1:15" s="2" customFormat="1" ht="18.75" customHeight="1" x14ac:dyDescent="0.2">
      <c r="A81" s="16" t="s">
        <v>67</v>
      </c>
      <c r="B81" s="55" t="s">
        <v>197</v>
      </c>
      <c r="C81" s="33">
        <f>C31-C80</f>
        <v>207.96000000000004</v>
      </c>
      <c r="D81" s="18"/>
      <c r="E81" s="18">
        <f t="shared" si="3"/>
        <v>0</v>
      </c>
      <c r="F81" s="1"/>
      <c r="G81" s="1"/>
      <c r="I81" s="1"/>
      <c r="J81" s="1"/>
      <c r="K81" s="1"/>
      <c r="L81" s="1"/>
      <c r="M81" s="1"/>
      <c r="N81" s="1"/>
      <c r="O81" s="3"/>
    </row>
    <row r="82" spans="1:15" s="2" customFormat="1" ht="18.75" customHeight="1" x14ac:dyDescent="0.2">
      <c r="A82" s="16" t="s">
        <v>68</v>
      </c>
      <c r="B82" s="55" t="s">
        <v>198</v>
      </c>
      <c r="C82" s="33">
        <v>83.764861809045215</v>
      </c>
      <c r="D82" s="18">
        <f>D53</f>
        <v>0</v>
      </c>
      <c r="E82" s="18">
        <f t="shared" si="3"/>
        <v>0</v>
      </c>
      <c r="F82" s="1"/>
      <c r="G82" s="1"/>
      <c r="I82" s="1"/>
      <c r="J82" s="1"/>
      <c r="K82" s="1"/>
      <c r="L82" s="1"/>
      <c r="M82" s="1"/>
      <c r="N82" s="1"/>
      <c r="O82" s="3"/>
    </row>
    <row r="83" spans="1:15" s="2" customFormat="1" ht="30" customHeight="1" x14ac:dyDescent="0.2">
      <c r="A83" s="16" t="s">
        <v>69</v>
      </c>
      <c r="B83" s="54" t="s">
        <v>199</v>
      </c>
      <c r="C83" s="33">
        <v>20.332801507537688</v>
      </c>
      <c r="D83" s="18">
        <f>D54</f>
        <v>0</v>
      </c>
      <c r="E83" s="18">
        <f t="shared" si="3"/>
        <v>0</v>
      </c>
      <c r="F83" s="1"/>
      <c r="G83" s="1"/>
      <c r="I83" s="1"/>
      <c r="J83" s="1"/>
      <c r="K83" s="1"/>
      <c r="L83" s="1"/>
      <c r="M83" s="1"/>
      <c r="N83" s="1"/>
      <c r="O83" s="3"/>
    </row>
    <row r="84" spans="1:15" s="2" customFormat="1" ht="18.75" customHeight="1" x14ac:dyDescent="0.2">
      <c r="A84" s="71" t="s">
        <v>27</v>
      </c>
      <c r="B84" s="71"/>
      <c r="C84" s="71"/>
      <c r="D84" s="71"/>
      <c r="E84" s="19">
        <f>+E80+E82+E83+E81</f>
        <v>0</v>
      </c>
      <c r="F84" s="1"/>
      <c r="G84" s="1"/>
      <c r="I84" s="1"/>
      <c r="J84" s="1"/>
      <c r="K84" s="1"/>
      <c r="L84" s="1"/>
      <c r="M84" s="1"/>
      <c r="N84" s="1"/>
      <c r="O84" s="3"/>
    </row>
    <row r="85" spans="1:15" s="2" customFormat="1" ht="30" customHeight="1" x14ac:dyDescent="0.2">
      <c r="A85" s="16" t="s">
        <v>70</v>
      </c>
      <c r="B85" s="54" t="s">
        <v>190</v>
      </c>
      <c r="C85" s="33">
        <f>C31+C28*2*0.1</f>
        <v>4107.550714</v>
      </c>
      <c r="D85" s="18"/>
      <c r="E85" s="18">
        <f>C85*D85</f>
        <v>0</v>
      </c>
      <c r="F85" s="1"/>
      <c r="G85" s="1"/>
      <c r="I85" s="1"/>
      <c r="J85" s="1"/>
      <c r="K85" s="1"/>
      <c r="L85" s="1"/>
      <c r="M85" s="1"/>
      <c r="N85" s="1"/>
      <c r="O85" s="3"/>
    </row>
    <row r="86" spans="1:15" s="2" customFormat="1" ht="30" customHeight="1" x14ac:dyDescent="0.2">
      <c r="A86" s="16" t="s">
        <v>71</v>
      </c>
      <c r="B86" s="54" t="s">
        <v>195</v>
      </c>
      <c r="C86" s="33">
        <f>C31</f>
        <v>4107.1400000000003</v>
      </c>
      <c r="D86" s="18"/>
      <c r="E86" s="18">
        <f t="shared" ref="E86:E89" si="4">C86*D86</f>
        <v>0</v>
      </c>
      <c r="F86" s="1"/>
      <c r="G86" s="1"/>
      <c r="I86" s="1"/>
      <c r="J86" s="1"/>
      <c r="K86" s="1"/>
      <c r="L86" s="1"/>
      <c r="M86" s="1"/>
      <c r="N86" s="1"/>
      <c r="O86" s="3"/>
    </row>
    <row r="87" spans="1:15" ht="18.75" customHeight="1" x14ac:dyDescent="0.2">
      <c r="A87" s="16" t="s">
        <v>72</v>
      </c>
      <c r="B87" s="54" t="s">
        <v>193</v>
      </c>
      <c r="C87" s="33">
        <f>C31</f>
        <v>4107.1400000000003</v>
      </c>
      <c r="D87" s="18"/>
      <c r="E87" s="18">
        <f t="shared" si="4"/>
        <v>0</v>
      </c>
    </row>
    <row r="88" spans="1:15" ht="18.75" customHeight="1" x14ac:dyDescent="0.2">
      <c r="A88" s="16" t="s">
        <v>100</v>
      </c>
      <c r="B88" s="54" t="s">
        <v>196</v>
      </c>
      <c r="C88" s="33">
        <f>C31</f>
        <v>4107.1400000000003</v>
      </c>
      <c r="D88" s="18"/>
      <c r="E88" s="18">
        <f t="shared" si="4"/>
        <v>0</v>
      </c>
    </row>
    <row r="89" spans="1:15" ht="18.75" customHeight="1" x14ac:dyDescent="0.2">
      <c r="A89" s="16" t="s">
        <v>101</v>
      </c>
      <c r="B89" s="54" t="s">
        <v>73</v>
      </c>
      <c r="C89" s="33">
        <f>C28*2*1000</f>
        <v>4107.1400000000003</v>
      </c>
      <c r="D89" s="18"/>
      <c r="E89" s="18">
        <f t="shared" si="4"/>
        <v>0</v>
      </c>
    </row>
    <row r="90" spans="1:15" ht="18.75" customHeight="1" x14ac:dyDescent="0.2">
      <c r="A90" s="71" t="s">
        <v>74</v>
      </c>
      <c r="B90" s="71"/>
      <c r="C90" s="71"/>
      <c r="D90" s="71"/>
      <c r="E90" s="19">
        <f>E85+E86+E87+E88+E89</f>
        <v>0</v>
      </c>
    </row>
    <row r="91" spans="1:15" ht="18.75" customHeight="1" x14ac:dyDescent="0.2">
      <c r="A91" s="16" t="s">
        <v>102</v>
      </c>
      <c r="B91" s="55" t="s">
        <v>42</v>
      </c>
      <c r="C91" s="33">
        <v>1</v>
      </c>
      <c r="D91" s="18"/>
      <c r="E91" s="18">
        <f t="shared" ref="E91:E95" si="5">C91*D91</f>
        <v>0</v>
      </c>
    </row>
    <row r="92" spans="1:15" ht="30" customHeight="1" x14ac:dyDescent="0.2">
      <c r="A92" s="16" t="s">
        <v>103</v>
      </c>
      <c r="B92" s="54" t="s">
        <v>187</v>
      </c>
      <c r="C92" s="33">
        <f>C31*C71/C16</f>
        <v>1232.1420000000001</v>
      </c>
      <c r="D92" s="18"/>
      <c r="E92" s="18">
        <f t="shared" si="5"/>
        <v>0</v>
      </c>
    </row>
    <row r="93" spans="1:15" ht="18.75" customHeight="1" x14ac:dyDescent="0.2">
      <c r="A93" s="16" t="s">
        <v>104</v>
      </c>
      <c r="B93" s="55" t="s">
        <v>188</v>
      </c>
      <c r="C93" s="33">
        <f>C92</f>
        <v>1232.1420000000001</v>
      </c>
      <c r="D93" s="18"/>
      <c r="E93" s="18">
        <f t="shared" si="5"/>
        <v>0</v>
      </c>
    </row>
    <row r="94" spans="1:15" ht="30" customHeight="1" x14ac:dyDescent="0.2">
      <c r="A94" s="16" t="s">
        <v>105</v>
      </c>
      <c r="B94" s="54" t="s">
        <v>189</v>
      </c>
      <c r="C94" s="33">
        <v>10</v>
      </c>
      <c r="D94" s="18"/>
      <c r="E94" s="18">
        <f t="shared" si="5"/>
        <v>0</v>
      </c>
    </row>
    <row r="95" spans="1:15" ht="18.75" customHeight="1" x14ac:dyDescent="0.2">
      <c r="A95" s="16" t="s">
        <v>106</v>
      </c>
      <c r="B95" s="55" t="s">
        <v>62</v>
      </c>
      <c r="C95" s="33">
        <f>C28</f>
        <v>2.0535700000000001</v>
      </c>
      <c r="D95" s="18"/>
      <c r="E95" s="18">
        <f t="shared" si="5"/>
        <v>0</v>
      </c>
    </row>
    <row r="96" spans="1:15" ht="18.75" customHeight="1" x14ac:dyDescent="0.2">
      <c r="A96" s="71" t="s">
        <v>44</v>
      </c>
      <c r="B96" s="71"/>
      <c r="C96" s="71"/>
      <c r="D96" s="71"/>
      <c r="E96" s="19">
        <f>SUM(E91:E95)</f>
        <v>0</v>
      </c>
    </row>
    <row r="97" spans="1:5" ht="18.75" customHeight="1" x14ac:dyDescent="0.2">
      <c r="A97" s="72" t="s">
        <v>108</v>
      </c>
      <c r="B97" s="72"/>
      <c r="C97" s="72"/>
      <c r="D97" s="72"/>
      <c r="E97" s="72"/>
    </row>
    <row r="98" spans="1:5" ht="18.75" customHeight="1" x14ac:dyDescent="0.2">
      <c r="A98" s="20" t="s">
        <v>109</v>
      </c>
      <c r="B98" s="23" t="s">
        <v>24</v>
      </c>
      <c r="C98" s="32">
        <f>C35</f>
        <v>2069</v>
      </c>
      <c r="D98" s="22"/>
      <c r="E98" s="22">
        <f t="shared" ref="E98:E100" si="6">C98*D98</f>
        <v>0</v>
      </c>
    </row>
    <row r="99" spans="1:5" ht="18.75" customHeight="1" x14ac:dyDescent="0.2">
      <c r="A99" s="20" t="s">
        <v>110</v>
      </c>
      <c r="B99" s="23" t="s">
        <v>25</v>
      </c>
      <c r="C99" s="32">
        <f>C35*26.8%</f>
        <v>554.49200000000008</v>
      </c>
      <c r="D99" s="22"/>
      <c r="E99" s="22">
        <f t="shared" si="6"/>
        <v>0</v>
      </c>
    </row>
    <row r="100" spans="1:5" ht="30" customHeight="1" x14ac:dyDescent="0.2">
      <c r="A100" s="20" t="s">
        <v>111</v>
      </c>
      <c r="B100" s="21" t="s">
        <v>26</v>
      </c>
      <c r="C100" s="32">
        <f>C35*6.51%</f>
        <v>134.69189999999998</v>
      </c>
      <c r="D100" s="22"/>
      <c r="E100" s="22">
        <f t="shared" si="6"/>
        <v>0</v>
      </c>
    </row>
    <row r="101" spans="1:5" ht="18.75" customHeight="1" x14ac:dyDescent="0.2">
      <c r="A101" s="71" t="s">
        <v>27</v>
      </c>
      <c r="B101" s="71"/>
      <c r="C101" s="71"/>
      <c r="D101" s="71"/>
      <c r="E101" s="19">
        <f>+E98+E99+E100</f>
        <v>0</v>
      </c>
    </row>
    <row r="102" spans="1:5" ht="18.75" customHeight="1" x14ac:dyDescent="0.2">
      <c r="A102" s="16" t="s">
        <v>112</v>
      </c>
      <c r="B102" s="54" t="s">
        <v>190</v>
      </c>
      <c r="C102" s="33">
        <f>C35</f>
        <v>2069</v>
      </c>
      <c r="D102" s="18"/>
      <c r="E102" s="18">
        <f>C102*D102</f>
        <v>0</v>
      </c>
    </row>
    <row r="103" spans="1:5" ht="30" customHeight="1" x14ac:dyDescent="0.2">
      <c r="A103" s="16" t="s">
        <v>113</v>
      </c>
      <c r="B103" s="54" t="s">
        <v>191</v>
      </c>
      <c r="C103" s="33">
        <f>C102</f>
        <v>2069</v>
      </c>
      <c r="D103" s="18"/>
      <c r="E103" s="18">
        <f t="shared" ref="E103:E107" si="7">C103*D103</f>
        <v>0</v>
      </c>
    </row>
    <row r="104" spans="1:5" ht="30" customHeight="1" x14ac:dyDescent="0.2">
      <c r="A104" s="16" t="s">
        <v>114</v>
      </c>
      <c r="B104" s="54" t="s">
        <v>192</v>
      </c>
      <c r="C104" s="33">
        <f>C103</f>
        <v>2069</v>
      </c>
      <c r="D104" s="18"/>
      <c r="E104" s="18">
        <f t="shared" si="7"/>
        <v>0</v>
      </c>
    </row>
    <row r="105" spans="1:5" ht="18.75" customHeight="1" x14ac:dyDescent="0.2">
      <c r="A105" s="16" t="s">
        <v>115</v>
      </c>
      <c r="B105" s="54" t="s">
        <v>193</v>
      </c>
      <c r="C105" s="33">
        <f>C104</f>
        <v>2069</v>
      </c>
      <c r="D105" s="18"/>
      <c r="E105" s="18">
        <f t="shared" si="7"/>
        <v>0</v>
      </c>
    </row>
    <row r="106" spans="1:5" ht="18.75" customHeight="1" x14ac:dyDescent="0.2">
      <c r="A106" s="16" t="s">
        <v>116</v>
      </c>
      <c r="B106" s="54" t="s">
        <v>194</v>
      </c>
      <c r="C106" s="33">
        <f>C105</f>
        <v>2069</v>
      </c>
      <c r="D106" s="18"/>
      <c r="E106" s="18">
        <f t="shared" si="7"/>
        <v>0</v>
      </c>
    </row>
    <row r="107" spans="1:5" ht="18.75" customHeight="1" x14ac:dyDescent="0.2">
      <c r="A107" s="16" t="s">
        <v>117</v>
      </c>
      <c r="B107" s="54" t="s">
        <v>73</v>
      </c>
      <c r="C107" s="33">
        <f>73.29+34.73+43.87+26.02+29.69+15.07</f>
        <v>222.67000000000002</v>
      </c>
      <c r="D107" s="18"/>
      <c r="E107" s="18">
        <f t="shared" si="7"/>
        <v>0</v>
      </c>
    </row>
    <row r="108" spans="1:5" ht="18.75" customHeight="1" x14ac:dyDescent="0.2">
      <c r="A108" s="71" t="s">
        <v>41</v>
      </c>
      <c r="B108" s="71"/>
      <c r="C108" s="71"/>
      <c r="D108" s="71"/>
      <c r="E108" s="51">
        <f>SUM(E102:E106)</f>
        <v>0</v>
      </c>
    </row>
    <row r="109" spans="1:5" ht="18.75" customHeight="1" x14ac:dyDescent="0.2">
      <c r="A109" s="16" t="s">
        <v>120</v>
      </c>
      <c r="B109" s="55" t="s">
        <v>43</v>
      </c>
      <c r="C109" s="33">
        <v>3</v>
      </c>
      <c r="D109" s="18"/>
      <c r="E109" s="18">
        <f t="shared" ref="E109:E117" si="8">C109*D109</f>
        <v>0</v>
      </c>
    </row>
    <row r="110" spans="1:5" ht="18.75" customHeight="1" x14ac:dyDescent="0.2">
      <c r="A110" s="16" t="s">
        <v>122</v>
      </c>
      <c r="B110" s="55" t="s">
        <v>42</v>
      </c>
      <c r="C110" s="33">
        <v>1</v>
      </c>
      <c r="D110" s="18"/>
      <c r="E110" s="18">
        <f t="shared" si="8"/>
        <v>0</v>
      </c>
    </row>
    <row r="111" spans="1:5" ht="30" customHeight="1" x14ac:dyDescent="0.2">
      <c r="A111" s="16" t="s">
        <v>123</v>
      </c>
      <c r="B111" s="54" t="s">
        <v>118</v>
      </c>
      <c r="C111" s="33">
        <v>8</v>
      </c>
      <c r="D111" s="18"/>
      <c r="E111" s="18">
        <f t="shared" si="8"/>
        <v>0</v>
      </c>
    </row>
    <row r="112" spans="1:5" ht="30" customHeight="1" x14ac:dyDescent="0.2">
      <c r="A112" s="16" t="s">
        <v>124</v>
      </c>
      <c r="B112" s="54" t="s">
        <v>129</v>
      </c>
      <c r="C112" s="33">
        <v>2</v>
      </c>
      <c r="D112" s="18"/>
      <c r="E112" s="18">
        <f t="shared" si="8"/>
        <v>0</v>
      </c>
    </row>
    <row r="113" spans="1:15" ht="18.75" customHeight="1" x14ac:dyDescent="0.2">
      <c r="A113" s="16" t="s">
        <v>125</v>
      </c>
      <c r="B113" s="55" t="s">
        <v>119</v>
      </c>
      <c r="C113" s="33">
        <v>1</v>
      </c>
      <c r="D113" s="18"/>
      <c r="E113" s="18">
        <f t="shared" si="8"/>
        <v>0</v>
      </c>
    </row>
    <row r="114" spans="1:15" s="2" customFormat="1" ht="30" customHeight="1" x14ac:dyDescent="0.2">
      <c r="A114" s="16" t="s">
        <v>126</v>
      </c>
      <c r="B114" s="54" t="s">
        <v>187</v>
      </c>
      <c r="C114" s="33">
        <f>C102/6</f>
        <v>344.83333333333331</v>
      </c>
      <c r="D114" s="18"/>
      <c r="E114" s="18">
        <f t="shared" si="8"/>
        <v>0</v>
      </c>
      <c r="F114" s="1"/>
      <c r="G114" s="1"/>
      <c r="I114" s="1"/>
      <c r="J114" s="1"/>
      <c r="K114" s="1"/>
      <c r="L114" s="1"/>
      <c r="M114" s="1"/>
      <c r="N114" s="1"/>
      <c r="O114" s="3"/>
    </row>
    <row r="115" spans="1:15" s="2" customFormat="1" ht="18.75" customHeight="1" x14ac:dyDescent="0.2">
      <c r="A115" s="16" t="s">
        <v>127</v>
      </c>
      <c r="B115" s="55" t="s">
        <v>188</v>
      </c>
      <c r="C115" s="33">
        <f>C114</f>
        <v>344.83333333333331</v>
      </c>
      <c r="D115" s="18"/>
      <c r="E115" s="18">
        <f t="shared" si="8"/>
        <v>0</v>
      </c>
      <c r="F115" s="1"/>
      <c r="G115" s="1"/>
      <c r="I115" s="1"/>
      <c r="J115" s="1"/>
      <c r="K115" s="1"/>
      <c r="L115" s="1"/>
      <c r="M115" s="1"/>
      <c r="N115" s="1"/>
      <c r="O115" s="3"/>
    </row>
    <row r="116" spans="1:15" s="2" customFormat="1" ht="30" customHeight="1" x14ac:dyDescent="0.2">
      <c r="A116" s="16" t="s">
        <v>128</v>
      </c>
      <c r="B116" s="54" t="s">
        <v>189</v>
      </c>
      <c r="C116" s="33">
        <v>50</v>
      </c>
      <c r="D116" s="18"/>
      <c r="E116" s="18">
        <f t="shared" si="8"/>
        <v>0</v>
      </c>
      <c r="F116" s="1"/>
      <c r="G116" s="1"/>
      <c r="I116" s="1"/>
      <c r="J116" s="1"/>
      <c r="K116" s="1"/>
      <c r="L116" s="1"/>
      <c r="M116" s="1"/>
      <c r="N116" s="1"/>
      <c r="O116" s="3"/>
    </row>
    <row r="117" spans="1:15" s="2" customFormat="1" ht="18.75" customHeight="1" x14ac:dyDescent="0.2">
      <c r="A117" s="16" t="s">
        <v>130</v>
      </c>
      <c r="B117" s="55" t="s">
        <v>18</v>
      </c>
      <c r="C117" s="33">
        <v>1</v>
      </c>
      <c r="D117" s="18"/>
      <c r="E117" s="18">
        <f t="shared" si="8"/>
        <v>0</v>
      </c>
      <c r="F117" s="1"/>
      <c r="G117" s="1"/>
      <c r="I117" s="1"/>
      <c r="J117" s="1"/>
      <c r="K117" s="1"/>
      <c r="L117" s="1"/>
      <c r="M117" s="1"/>
      <c r="N117" s="1"/>
      <c r="O117" s="3"/>
    </row>
    <row r="118" spans="1:15" s="2" customFormat="1" ht="18.75" customHeight="1" x14ac:dyDescent="0.2">
      <c r="A118" s="71" t="s">
        <v>44</v>
      </c>
      <c r="B118" s="71"/>
      <c r="C118" s="71"/>
      <c r="D118" s="71"/>
      <c r="E118" s="19">
        <f>SUM(E109:E117)</f>
        <v>0</v>
      </c>
      <c r="F118" s="1"/>
      <c r="G118" s="1"/>
      <c r="I118" s="1"/>
      <c r="J118" s="1"/>
      <c r="K118" s="1"/>
      <c r="L118" s="1"/>
      <c r="M118" s="1"/>
      <c r="N118" s="1"/>
      <c r="O118" s="3"/>
    </row>
    <row r="119" spans="1:15" ht="18.75" customHeight="1" x14ac:dyDescent="0.2">
      <c r="A119" s="72" t="s">
        <v>131</v>
      </c>
      <c r="B119" s="72"/>
      <c r="C119" s="72"/>
      <c r="D119" s="72"/>
      <c r="E119" s="72"/>
    </row>
    <row r="120" spans="1:15" ht="30" customHeight="1" x14ac:dyDescent="0.2">
      <c r="A120" s="20" t="s">
        <v>132</v>
      </c>
      <c r="B120" s="21" t="s">
        <v>20</v>
      </c>
      <c r="C120" s="32">
        <f>C38</f>
        <v>1.7205900000000003</v>
      </c>
      <c r="D120" s="22"/>
      <c r="E120" s="22">
        <f t="shared" ref="E120" si="9">C120*D120</f>
        <v>0</v>
      </c>
    </row>
    <row r="121" spans="1:15" ht="18.75" customHeight="1" x14ac:dyDescent="0.2">
      <c r="A121" s="71" t="s">
        <v>16</v>
      </c>
      <c r="B121" s="71"/>
      <c r="C121" s="71"/>
      <c r="D121" s="71"/>
      <c r="E121" s="19">
        <f>E120</f>
        <v>0</v>
      </c>
    </row>
    <row r="122" spans="1:15" s="2" customFormat="1" ht="18.75" customHeight="1" x14ac:dyDescent="0.2">
      <c r="A122" s="16" t="s">
        <v>133</v>
      </c>
      <c r="B122" s="55" t="s">
        <v>183</v>
      </c>
      <c r="C122" s="33">
        <f>C39*1.5</f>
        <v>2580.8850000000007</v>
      </c>
      <c r="D122" s="18">
        <f>D93</f>
        <v>0</v>
      </c>
      <c r="E122" s="18">
        <f t="shared" ref="E122:E123" si="10">C122*D122</f>
        <v>0</v>
      </c>
      <c r="F122" s="1"/>
      <c r="G122" s="1"/>
      <c r="I122" s="1"/>
      <c r="J122" s="1"/>
      <c r="K122" s="1"/>
      <c r="L122" s="1"/>
      <c r="M122" s="1"/>
      <c r="N122" s="1"/>
      <c r="O122" s="3"/>
    </row>
    <row r="123" spans="1:15" ht="30" customHeight="1" x14ac:dyDescent="0.2">
      <c r="A123" s="16" t="s">
        <v>134</v>
      </c>
      <c r="B123" s="54" t="s">
        <v>184</v>
      </c>
      <c r="C123" s="33">
        <f>C122</f>
        <v>2580.8850000000007</v>
      </c>
      <c r="D123" s="18">
        <f>D94</f>
        <v>0</v>
      </c>
      <c r="E123" s="18">
        <f t="shared" si="10"/>
        <v>0</v>
      </c>
    </row>
    <row r="124" spans="1:15" ht="41.25" customHeight="1" x14ac:dyDescent="0.2">
      <c r="A124" s="16" t="s">
        <v>135</v>
      </c>
      <c r="B124" s="54" t="s">
        <v>185</v>
      </c>
      <c r="C124" s="33">
        <v>2552.1506794073825</v>
      </c>
      <c r="D124" s="18">
        <f>D123</f>
        <v>0</v>
      </c>
      <c r="E124" s="18">
        <f t="shared" ref="E124:E128" si="11">C124*D124</f>
        <v>0</v>
      </c>
    </row>
    <row r="125" spans="1:15" ht="30" customHeight="1" x14ac:dyDescent="0.2">
      <c r="A125" s="16" t="s">
        <v>136</v>
      </c>
      <c r="B125" s="54" t="s">
        <v>186</v>
      </c>
      <c r="C125" s="33">
        <v>137.28550000000001</v>
      </c>
      <c r="D125" s="18"/>
      <c r="E125" s="18">
        <f t="shared" si="11"/>
        <v>0</v>
      </c>
    </row>
    <row r="126" spans="1:15" s="2" customFormat="1" ht="18.75" customHeight="1" x14ac:dyDescent="0.2">
      <c r="A126" s="71" t="s">
        <v>27</v>
      </c>
      <c r="B126" s="71"/>
      <c r="C126" s="71"/>
      <c r="D126" s="71"/>
      <c r="E126" s="19">
        <f>+E122+E124+E125+E123</f>
        <v>0</v>
      </c>
      <c r="F126" s="1"/>
      <c r="G126" s="1"/>
      <c r="H126" s="52"/>
      <c r="I126" s="1"/>
      <c r="J126" s="1"/>
      <c r="K126" s="1"/>
      <c r="L126" s="1"/>
      <c r="M126" s="1"/>
      <c r="N126" s="1"/>
      <c r="O126" s="3"/>
    </row>
    <row r="127" spans="1:15" ht="30" customHeight="1" x14ac:dyDescent="0.2">
      <c r="A127" s="16" t="s">
        <v>137</v>
      </c>
      <c r="B127" s="54" t="s">
        <v>139</v>
      </c>
      <c r="C127" s="33">
        <v>1365.4437751222165</v>
      </c>
      <c r="D127" s="18"/>
      <c r="E127" s="18">
        <f t="shared" si="11"/>
        <v>0</v>
      </c>
    </row>
    <row r="128" spans="1:15" ht="18.75" customHeight="1" x14ac:dyDescent="0.2">
      <c r="A128" s="16" t="s">
        <v>121</v>
      </c>
      <c r="B128" s="55" t="s">
        <v>138</v>
      </c>
      <c r="C128" s="33">
        <v>355.14622487778388</v>
      </c>
      <c r="D128" s="18"/>
      <c r="E128" s="18">
        <f t="shared" si="11"/>
        <v>0</v>
      </c>
    </row>
    <row r="129" spans="1:15" ht="18.75" customHeight="1" x14ac:dyDescent="0.2">
      <c r="A129" s="16" t="s">
        <v>140</v>
      </c>
      <c r="B129" s="55" t="s">
        <v>182</v>
      </c>
      <c r="C129" s="33">
        <v>108.6021565705269</v>
      </c>
      <c r="D129" s="18"/>
      <c r="E129" s="18">
        <f t="shared" ref="E129" si="12">C129*D129</f>
        <v>0</v>
      </c>
      <c r="H129" s="53"/>
    </row>
    <row r="130" spans="1:15" ht="18.75" customHeight="1" x14ac:dyDescent="0.2">
      <c r="A130" s="16" t="s">
        <v>141</v>
      </c>
      <c r="B130" s="55" t="s">
        <v>142</v>
      </c>
      <c r="C130" s="33">
        <f>INT(C39/100)</f>
        <v>17</v>
      </c>
      <c r="D130" s="18"/>
      <c r="E130" s="18">
        <f t="shared" ref="E130" si="13">C130*D130</f>
        <v>0</v>
      </c>
    </row>
    <row r="131" spans="1:15" ht="18.75" customHeight="1" x14ac:dyDescent="0.2">
      <c r="A131" s="16" t="s">
        <v>143</v>
      </c>
      <c r="B131" s="55" t="s">
        <v>144</v>
      </c>
      <c r="C131" s="33">
        <f>INT(C39/70)</f>
        <v>24</v>
      </c>
      <c r="D131" s="18"/>
      <c r="E131" s="18">
        <f t="shared" ref="E131" si="14">C131*D131</f>
        <v>0</v>
      </c>
    </row>
    <row r="132" spans="1:15" ht="18.75" customHeight="1" x14ac:dyDescent="0.2">
      <c r="A132" s="16" t="s">
        <v>145</v>
      </c>
      <c r="B132" s="54" t="s">
        <v>146</v>
      </c>
      <c r="C132" s="33">
        <f>C127</f>
        <v>1365.4437751222165</v>
      </c>
      <c r="D132" s="18"/>
      <c r="E132" s="18">
        <f t="shared" ref="E132" si="15">C132*D132</f>
        <v>0</v>
      </c>
    </row>
    <row r="133" spans="1:15" ht="18.75" customHeight="1" x14ac:dyDescent="0.2">
      <c r="A133" s="16" t="s">
        <v>147</v>
      </c>
      <c r="B133" s="54" t="s">
        <v>148</v>
      </c>
      <c r="C133" s="33">
        <f>C128</f>
        <v>355.14622487778388</v>
      </c>
      <c r="D133" s="18"/>
      <c r="E133" s="18">
        <f t="shared" ref="E133" si="16">C133*D133</f>
        <v>0</v>
      </c>
    </row>
    <row r="134" spans="1:15" s="2" customFormat="1" ht="18.75" customHeight="1" x14ac:dyDescent="0.2">
      <c r="A134" s="71" t="s">
        <v>149</v>
      </c>
      <c r="B134" s="71"/>
      <c r="C134" s="71"/>
      <c r="D134" s="71"/>
      <c r="E134" s="19">
        <f>SUM(E127:E133)</f>
        <v>0</v>
      </c>
      <c r="F134" s="1"/>
      <c r="G134" s="1"/>
      <c r="I134" s="1"/>
      <c r="J134" s="1"/>
      <c r="K134" s="1"/>
      <c r="L134" s="1"/>
      <c r="M134" s="1"/>
      <c r="N134" s="1"/>
      <c r="O134" s="3"/>
    </row>
    <row r="136" spans="1:15" ht="18.75" customHeight="1" x14ac:dyDescent="0.2">
      <c r="B136" s="75" t="s">
        <v>75</v>
      </c>
      <c r="C136" s="76"/>
      <c r="D136" s="76"/>
      <c r="E136" s="42">
        <f>E46+E50+E55+E62+E68+E75+E79+E84+E90+E96+E101+E108+E118+E121+E126+E134</f>
        <v>0</v>
      </c>
    </row>
    <row r="137" spans="1:15" ht="18.75" customHeight="1" x14ac:dyDescent="0.2">
      <c r="B137" s="77" t="s">
        <v>76</v>
      </c>
      <c r="C137" s="78"/>
      <c r="D137" s="78"/>
      <c r="E137" s="43">
        <f>E136*23%</f>
        <v>0</v>
      </c>
    </row>
    <row r="138" spans="1:15" ht="18.75" customHeight="1" x14ac:dyDescent="0.2">
      <c r="B138" s="73" t="s">
        <v>77</v>
      </c>
      <c r="C138" s="74"/>
      <c r="D138" s="74"/>
      <c r="E138" s="44">
        <f>E136+E137</f>
        <v>0</v>
      </c>
    </row>
  </sheetData>
  <mergeCells count="23">
    <mergeCell ref="A134:D134"/>
    <mergeCell ref="B136:D136"/>
    <mergeCell ref="B137:D137"/>
    <mergeCell ref="B138:D138"/>
    <mergeCell ref="A97:E97"/>
    <mergeCell ref="A101:D101"/>
    <mergeCell ref="A108:D108"/>
    <mergeCell ref="A118:D118"/>
    <mergeCell ref="A119:E119"/>
    <mergeCell ref="A121:D121"/>
    <mergeCell ref="A126:D126"/>
    <mergeCell ref="A96:D96"/>
    <mergeCell ref="A46:D46"/>
    <mergeCell ref="A47:E47"/>
    <mergeCell ref="A50:D50"/>
    <mergeCell ref="A55:D55"/>
    <mergeCell ref="A62:D62"/>
    <mergeCell ref="A68:D68"/>
    <mergeCell ref="A75:D75"/>
    <mergeCell ref="A76:E76"/>
    <mergeCell ref="A79:D79"/>
    <mergeCell ref="A84:D84"/>
    <mergeCell ref="A90:D9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opLeftCell="A13" zoomScale="160" zoomScaleNormal="160" workbookViewId="0">
      <selection activeCell="G32" sqref="G32"/>
    </sheetView>
  </sheetViews>
  <sheetFormatPr defaultColWidth="7.140625" defaultRowHeight="18.75" customHeight="1" x14ac:dyDescent="0.2"/>
  <cols>
    <col min="1" max="1" width="7.140625" style="3"/>
    <col min="2" max="2" width="42.28515625" style="1" customWidth="1"/>
    <col min="3" max="3" width="12" style="11" customWidth="1"/>
    <col min="4" max="4" width="12.85546875" style="5" customWidth="1"/>
    <col min="5" max="5" width="14.42578125" style="5" customWidth="1"/>
    <col min="6" max="6" width="7.140625" style="1"/>
    <col min="7" max="7" width="13.7109375" style="2" bestFit="1" customWidth="1"/>
    <col min="8" max="8" width="7.140625" style="2"/>
    <col min="9" max="12" width="7.140625" style="1"/>
    <col min="13" max="13" width="7.140625" style="1" customWidth="1"/>
    <col min="14" max="14" width="13.42578125" style="1" customWidth="1"/>
    <col min="15" max="15" width="7.140625" style="3"/>
    <col min="16" max="16384" width="7.140625" style="1"/>
  </cols>
  <sheetData>
    <row r="1" spans="1:14" ht="18.75" customHeight="1" x14ac:dyDescent="0.2">
      <c r="A1" s="24" t="s">
        <v>11</v>
      </c>
    </row>
    <row r="2" spans="1:14" ht="18.75" customHeight="1" x14ac:dyDescent="0.2">
      <c r="A2" s="2" t="s">
        <v>12</v>
      </c>
    </row>
    <row r="3" spans="1:14" ht="18.75" customHeight="1" x14ac:dyDescent="0.2">
      <c r="A3" s="2"/>
    </row>
    <row r="4" spans="1:14" ht="18.75" customHeight="1" x14ac:dyDescent="0.2">
      <c r="A4" s="2"/>
      <c r="B4" s="45" t="s">
        <v>150</v>
      </c>
      <c r="C4" s="46"/>
      <c r="D4" s="47"/>
    </row>
    <row r="5" spans="1:14" ht="18.75" customHeight="1" x14ac:dyDescent="0.2">
      <c r="A5" s="2"/>
      <c r="B5" s="25" t="s">
        <v>151</v>
      </c>
      <c r="C5" s="35"/>
      <c r="D5" s="26" t="s">
        <v>57</v>
      </c>
      <c r="G5" s="2" t="s">
        <v>152</v>
      </c>
    </row>
    <row r="6" spans="1:14" ht="18.75" customHeight="1" x14ac:dyDescent="0.2">
      <c r="A6" s="2"/>
      <c r="B6" s="25" t="s">
        <v>179</v>
      </c>
      <c r="C6" s="35"/>
      <c r="D6" s="26" t="s">
        <v>180</v>
      </c>
    </row>
    <row r="7" spans="1:14" ht="18.75" customHeight="1" x14ac:dyDescent="0.2">
      <c r="A7" s="2"/>
      <c r="B7" s="25"/>
      <c r="C7" s="35"/>
      <c r="D7" s="26"/>
      <c r="G7" s="2" t="s">
        <v>210</v>
      </c>
    </row>
    <row r="8" spans="1:14" ht="18.75" customHeight="1" x14ac:dyDescent="0.2">
      <c r="A8" s="2"/>
      <c r="B8" s="25"/>
      <c r="C8" s="35"/>
      <c r="D8" s="26"/>
      <c r="G8" s="2" t="s">
        <v>153</v>
      </c>
    </row>
    <row r="9" spans="1:14" ht="18.75" customHeight="1" x14ac:dyDescent="0.2">
      <c r="A9" s="2"/>
      <c r="B9" s="25"/>
      <c r="C9" s="35"/>
      <c r="D9" s="26"/>
      <c r="G9" s="2" t="s">
        <v>154</v>
      </c>
    </row>
    <row r="10" spans="1:14" ht="18.75" customHeight="1" x14ac:dyDescent="0.2">
      <c r="A10" s="2"/>
      <c r="B10" s="25"/>
      <c r="C10" s="35"/>
      <c r="D10" s="26"/>
      <c r="G10" s="2" t="s">
        <v>155</v>
      </c>
    </row>
    <row r="11" spans="1:14" ht="18.75" customHeight="1" x14ac:dyDescent="0.2">
      <c r="A11" s="2"/>
      <c r="B11" s="27"/>
      <c r="C11" s="36"/>
      <c r="D11" s="28"/>
      <c r="G11" s="2" t="s">
        <v>156</v>
      </c>
    </row>
    <row r="12" spans="1:14" ht="18.75" customHeight="1" x14ac:dyDescent="0.2">
      <c r="A12" s="2"/>
      <c r="C12" s="37"/>
      <c r="G12" s="2" t="s">
        <v>157</v>
      </c>
    </row>
    <row r="13" spans="1:14" s="3" customFormat="1" ht="18.75" customHeight="1" x14ac:dyDescent="0.2">
      <c r="A13" s="2"/>
      <c r="B13" s="29" t="s">
        <v>59</v>
      </c>
      <c r="C13" s="31">
        <v>0</v>
      </c>
      <c r="D13" s="30" t="s">
        <v>60</v>
      </c>
      <c r="E13" s="5"/>
      <c r="F13" s="1"/>
      <c r="G13" s="2" t="s">
        <v>158</v>
      </c>
      <c r="H13" s="2"/>
      <c r="I13" s="1"/>
      <c r="J13" s="1"/>
      <c r="K13" s="1"/>
      <c r="L13" s="1"/>
      <c r="M13" s="1"/>
      <c r="N13" s="1"/>
    </row>
    <row r="14" spans="1:14" s="3" customFormat="1" ht="18.75" customHeight="1" x14ac:dyDescent="0.2">
      <c r="A14" s="2"/>
      <c r="B14" s="1"/>
      <c r="C14" s="11"/>
      <c r="D14" s="5"/>
      <c r="E14" s="5"/>
      <c r="F14" s="1"/>
      <c r="G14" s="2" t="s">
        <v>159</v>
      </c>
      <c r="H14" s="2"/>
      <c r="I14" s="1"/>
      <c r="J14" s="1"/>
      <c r="K14" s="1"/>
      <c r="L14" s="1"/>
      <c r="M14" s="1"/>
      <c r="N14" s="1"/>
    </row>
    <row r="15" spans="1:14" s="4" customFormat="1" ht="30" customHeight="1" x14ac:dyDescent="0.2">
      <c r="A15" s="8" t="s">
        <v>0</v>
      </c>
      <c r="B15" s="8" t="s">
        <v>1</v>
      </c>
      <c r="C15" s="12" t="s">
        <v>2</v>
      </c>
      <c r="D15" s="34" t="s">
        <v>3</v>
      </c>
      <c r="E15" s="9" t="s">
        <v>4</v>
      </c>
      <c r="G15" s="2" t="s">
        <v>160</v>
      </c>
      <c r="H15" s="10"/>
    </row>
    <row r="16" spans="1:14" s="3" customFormat="1" ht="18.75" customHeight="1" x14ac:dyDescent="0.2">
      <c r="A16" s="6" t="s">
        <v>5</v>
      </c>
      <c r="B16" s="6" t="s">
        <v>6</v>
      </c>
      <c r="C16" s="13" t="s">
        <v>7</v>
      </c>
      <c r="D16" s="7" t="s">
        <v>8</v>
      </c>
      <c r="E16" s="7" t="s">
        <v>9</v>
      </c>
      <c r="G16" s="2" t="s">
        <v>161</v>
      </c>
      <c r="H16" s="2"/>
      <c r="N16" s="11"/>
    </row>
    <row r="17" spans="1:14" s="3" customFormat="1" ht="18.75" customHeight="1" x14ac:dyDescent="0.2">
      <c r="A17" s="16" t="s">
        <v>10</v>
      </c>
      <c r="B17" s="17" t="s">
        <v>15</v>
      </c>
      <c r="C17" s="33">
        <v>1</v>
      </c>
      <c r="D17" s="18">
        <f>33*(1+$C$13/100)</f>
        <v>33</v>
      </c>
      <c r="E17" s="18">
        <f>C17*D17</f>
        <v>33</v>
      </c>
      <c r="F17" s="1"/>
      <c r="G17" s="2" t="s">
        <v>162</v>
      </c>
      <c r="H17" s="2"/>
      <c r="I17" s="1"/>
      <c r="J17" s="1"/>
      <c r="K17" s="1"/>
      <c r="L17" s="1"/>
      <c r="M17" s="1"/>
      <c r="N17" s="11"/>
    </row>
    <row r="18" spans="1:14" s="3" customFormat="1" ht="18.75" customHeight="1" x14ac:dyDescent="0.2">
      <c r="A18" s="71" t="s">
        <v>13</v>
      </c>
      <c r="B18" s="71"/>
      <c r="C18" s="71"/>
      <c r="D18" s="71"/>
      <c r="E18" s="19">
        <f>E17</f>
        <v>33</v>
      </c>
      <c r="F18" s="1"/>
      <c r="G18" s="2" t="s">
        <v>163</v>
      </c>
      <c r="H18" s="2"/>
      <c r="I18" s="1"/>
      <c r="J18" s="1"/>
      <c r="K18" s="1"/>
      <c r="L18" s="1"/>
      <c r="M18" s="1"/>
      <c r="N18" s="11"/>
    </row>
    <row r="19" spans="1:14" s="3" customFormat="1" ht="18.75" customHeight="1" x14ac:dyDescent="0.2">
      <c r="A19" s="72" t="s">
        <v>178</v>
      </c>
      <c r="B19" s="72"/>
      <c r="C19" s="72"/>
      <c r="D19" s="72"/>
      <c r="E19" s="72"/>
      <c r="F19" s="1"/>
      <c r="G19" s="2" t="s">
        <v>164</v>
      </c>
      <c r="H19" s="2"/>
      <c r="I19" s="1"/>
      <c r="J19" s="1"/>
      <c r="K19" s="1"/>
      <c r="L19" s="1"/>
      <c r="M19" s="1"/>
      <c r="N19" s="1"/>
    </row>
    <row r="20" spans="1:14" ht="42" customHeight="1" x14ac:dyDescent="0.2">
      <c r="A20" s="16" t="s">
        <v>14</v>
      </c>
      <c r="B20" s="54" t="s">
        <v>181</v>
      </c>
      <c r="C20" s="33">
        <v>1</v>
      </c>
      <c r="D20" s="18">
        <v>115000</v>
      </c>
      <c r="E20" s="18"/>
      <c r="G20" s="2" t="s">
        <v>165</v>
      </c>
    </row>
    <row r="21" spans="1:14" ht="18.75" customHeight="1" x14ac:dyDescent="0.2">
      <c r="A21" s="16" t="s">
        <v>17</v>
      </c>
      <c r="B21" s="55" t="s">
        <v>209</v>
      </c>
      <c r="C21" s="33"/>
      <c r="D21" s="18"/>
      <c r="E21" s="18"/>
      <c r="G21" s="2" t="s">
        <v>166</v>
      </c>
    </row>
    <row r="22" spans="1:14" ht="18.75" customHeight="1" x14ac:dyDescent="0.2">
      <c r="A22" s="16" t="s">
        <v>17</v>
      </c>
      <c r="B22" s="55" t="s">
        <v>208</v>
      </c>
      <c r="C22" s="33">
        <v>14</v>
      </c>
      <c r="D22" s="18"/>
      <c r="E22" s="18"/>
      <c r="G22" s="2" t="s">
        <v>167</v>
      </c>
    </row>
    <row r="23" spans="1:14" ht="18.75" customHeight="1" x14ac:dyDescent="0.2">
      <c r="A23" s="16" t="s">
        <v>19</v>
      </c>
      <c r="B23" s="55" t="s">
        <v>205</v>
      </c>
      <c r="C23" s="33">
        <v>1</v>
      </c>
      <c r="D23" s="18"/>
      <c r="E23" s="18"/>
      <c r="G23" s="2" t="s">
        <v>168</v>
      </c>
    </row>
    <row r="24" spans="1:14" ht="18.75" customHeight="1" x14ac:dyDescent="0.2">
      <c r="A24" s="16" t="s">
        <v>22</v>
      </c>
      <c r="B24" s="55" t="s">
        <v>206</v>
      </c>
      <c r="C24" s="33">
        <v>2</v>
      </c>
      <c r="D24" s="18"/>
      <c r="E24" s="18"/>
      <c r="G24" s="2" t="s">
        <v>169</v>
      </c>
    </row>
    <row r="25" spans="1:14" ht="18.75" customHeight="1" x14ac:dyDescent="0.2">
      <c r="A25" s="16" t="s">
        <v>23</v>
      </c>
      <c r="B25" s="55" t="s">
        <v>207</v>
      </c>
      <c r="C25" s="33">
        <v>12.32</v>
      </c>
      <c r="D25" s="18"/>
      <c r="E25" s="18"/>
      <c r="G25" s="2" t="s">
        <v>170</v>
      </c>
    </row>
    <row r="26" spans="1:14" ht="18.75" customHeight="1" x14ac:dyDescent="0.2">
      <c r="A26" s="14" t="s">
        <v>29</v>
      </c>
      <c r="B26" s="69" t="s">
        <v>211</v>
      </c>
      <c r="C26" s="70">
        <v>1</v>
      </c>
      <c r="D26" s="15"/>
      <c r="E26" s="15"/>
      <c r="G26" s="2" t="s">
        <v>171</v>
      </c>
    </row>
    <row r="27" spans="1:14" ht="18.75" customHeight="1" x14ac:dyDescent="0.2">
      <c r="A27" s="14"/>
      <c r="B27" s="69"/>
      <c r="C27" s="70"/>
      <c r="D27" s="15"/>
      <c r="E27" s="15"/>
      <c r="G27" s="2" t="s">
        <v>172</v>
      </c>
    </row>
    <row r="28" spans="1:14" ht="18.75" customHeight="1" x14ac:dyDescent="0.2">
      <c r="G28" s="2" t="s">
        <v>173</v>
      </c>
    </row>
    <row r="29" spans="1:14" ht="18.75" customHeight="1" x14ac:dyDescent="0.2">
      <c r="G29" s="2" t="s">
        <v>174</v>
      </c>
    </row>
    <row r="30" spans="1:14" ht="18.75" customHeight="1" x14ac:dyDescent="0.2">
      <c r="G30" s="2" t="s">
        <v>175</v>
      </c>
    </row>
    <row r="31" spans="1:14" ht="18.75" customHeight="1" x14ac:dyDescent="0.2">
      <c r="G31" s="2" t="s">
        <v>176</v>
      </c>
    </row>
    <row r="32" spans="1:14" ht="18.75" customHeight="1" x14ac:dyDescent="0.2">
      <c r="G32" s="2" t="s">
        <v>177</v>
      </c>
    </row>
    <row r="47" spans="2:5" ht="18.75" customHeight="1" x14ac:dyDescent="0.2">
      <c r="B47" s="75" t="s">
        <v>75</v>
      </c>
      <c r="C47" s="76"/>
      <c r="D47" s="76"/>
      <c r="E47" s="42"/>
    </row>
    <row r="48" spans="2:5" ht="18.75" customHeight="1" x14ac:dyDescent="0.2">
      <c r="B48" s="77" t="s">
        <v>76</v>
      </c>
      <c r="C48" s="78"/>
      <c r="D48" s="78"/>
      <c r="E48" s="43">
        <f>E47*23%</f>
        <v>0</v>
      </c>
    </row>
    <row r="49" spans="2:5" ht="18.75" customHeight="1" x14ac:dyDescent="0.2">
      <c r="B49" s="73" t="s">
        <v>77</v>
      </c>
      <c r="C49" s="74"/>
      <c r="D49" s="74"/>
      <c r="E49" s="44">
        <f>E47+E48</f>
        <v>0</v>
      </c>
    </row>
  </sheetData>
  <mergeCells count="5">
    <mergeCell ref="B47:D47"/>
    <mergeCell ref="B48:D48"/>
    <mergeCell ref="B49:D49"/>
    <mergeCell ref="A18:D18"/>
    <mergeCell ref="A19:E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Wielen Polnoc</vt:lpstr>
      <vt:lpstr>Sala Wiejska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Różycki</dc:creator>
  <cp:lastModifiedBy>Użytkownik systemu Windows</cp:lastModifiedBy>
  <cp:lastPrinted>2022-11-03T11:15:00Z</cp:lastPrinted>
  <dcterms:created xsi:type="dcterms:W3CDTF">2022-01-16T21:09:05Z</dcterms:created>
  <dcterms:modified xsi:type="dcterms:W3CDTF">2022-11-03T11:15:04Z</dcterms:modified>
</cp:coreProperties>
</file>