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rciniak\DROGI 2019-2020\REALIZACJA 2019-2020-2021-2022-2023\2024\1. Os. PKP\DO PRZETARGU\5. Przedmiary\"/>
    </mc:Choice>
  </mc:AlternateContent>
  <xr:revisionPtr revIDLastSave="0" documentId="13_ncr:1_{E4C06DE6-CCB9-4CAC-A706-C7DE49893AC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O-KOLEJOWA" sheetId="1" r:id="rId1"/>
  </sheets>
  <definedNames>
    <definedName name="_xlnm.Print_Area" localSheetId="0">'KO-KOLEJOWA'!$A$1:$G$132</definedName>
    <definedName name="Print_Area_0_0" localSheetId="0">'KO-KOLEJOWA'!$A$1:$G$133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E123" i="1"/>
  <c r="G123" i="1" s="1"/>
  <c r="E122" i="1"/>
  <c r="G122" i="1" s="1"/>
  <c r="E121" i="1"/>
  <c r="G121" i="1" s="1"/>
  <c r="E120" i="1"/>
  <c r="G120" i="1" s="1"/>
  <c r="G119" i="1"/>
  <c r="E119" i="1"/>
  <c r="E118" i="1"/>
  <c r="G118" i="1" s="1"/>
  <c r="E116" i="1"/>
  <c r="G116" i="1" s="1"/>
  <c r="G115" i="1"/>
  <c r="E115" i="1"/>
  <c r="E108" i="1" s="1"/>
  <c r="G108" i="1" s="1"/>
  <c r="E112" i="1"/>
  <c r="G112" i="1" s="1"/>
  <c r="E111" i="1"/>
  <c r="G111" i="1" s="1"/>
  <c r="E110" i="1"/>
  <c r="G110" i="1" s="1"/>
  <c r="G109" i="1"/>
  <c r="E109" i="1"/>
  <c r="E104" i="1"/>
  <c r="G104" i="1" s="1"/>
  <c r="E103" i="1"/>
  <c r="G103" i="1" s="1"/>
  <c r="E102" i="1"/>
  <c r="G102" i="1" s="1"/>
  <c r="E101" i="1"/>
  <c r="G101" i="1" s="1"/>
  <c r="G100" i="1"/>
  <c r="E100" i="1"/>
  <c r="G98" i="1"/>
  <c r="G97" i="1"/>
  <c r="G96" i="1"/>
  <c r="G95" i="1"/>
  <c r="E94" i="1"/>
  <c r="G94" i="1" s="1"/>
  <c r="G93" i="1"/>
  <c r="E92" i="1"/>
  <c r="G92" i="1" s="1"/>
  <c r="G91" i="1"/>
  <c r="G90" i="1"/>
  <c r="G89" i="1"/>
  <c r="G88" i="1"/>
  <c r="E87" i="1"/>
  <c r="G87" i="1" s="1"/>
  <c r="E86" i="1"/>
  <c r="G86" i="1" s="1"/>
  <c r="E85" i="1"/>
  <c r="G85" i="1" s="1"/>
  <c r="E84" i="1"/>
  <c r="G84" i="1" s="1"/>
  <c r="E83" i="1"/>
  <c r="G83" i="1" s="1"/>
  <c r="G81" i="1"/>
  <c r="E81" i="1"/>
  <c r="E126" i="1" s="1"/>
  <c r="G126" i="1" s="1"/>
  <c r="E80" i="1"/>
  <c r="A80" i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100" i="1" s="1"/>
  <c r="A101" i="1" s="1"/>
  <c r="A102" i="1" s="1"/>
  <c r="A103" i="1" s="1"/>
  <c r="A104" i="1" s="1"/>
  <c r="A105" i="1" s="1"/>
  <c r="A108" i="1" s="1"/>
  <c r="A109" i="1" s="1"/>
  <c r="A110" i="1" s="1"/>
  <c r="A111" i="1" s="1"/>
  <c r="A112" i="1" s="1"/>
  <c r="A113" i="1" s="1"/>
  <c r="A115" i="1" s="1"/>
  <c r="A116" i="1" s="1"/>
  <c r="A118" i="1" s="1"/>
  <c r="A119" i="1" s="1"/>
  <c r="A120" i="1" s="1"/>
  <c r="A121" i="1" s="1"/>
  <c r="A122" i="1" s="1"/>
  <c r="A123" i="1" s="1"/>
  <c r="A126" i="1" s="1"/>
  <c r="G79" i="1"/>
  <c r="G74" i="1"/>
  <c r="G73" i="1"/>
  <c r="E72" i="1"/>
  <c r="G72" i="1" s="1"/>
  <c r="G71" i="1"/>
  <c r="G70" i="1"/>
  <c r="G69" i="1"/>
  <c r="E68" i="1"/>
  <c r="G68" i="1" s="1"/>
  <c r="E66" i="1"/>
  <c r="G66" i="1" s="1"/>
  <c r="E65" i="1"/>
  <c r="G65" i="1" s="1"/>
  <c r="E64" i="1"/>
  <c r="G64" i="1" s="1"/>
  <c r="E63" i="1"/>
  <c r="G63" i="1" s="1"/>
  <c r="E62" i="1"/>
  <c r="G62" i="1" s="1"/>
  <c r="E61" i="1"/>
  <c r="G61" i="1" s="1"/>
  <c r="G60" i="1"/>
  <c r="E60" i="1"/>
  <c r="E59" i="1"/>
  <c r="G59" i="1" s="1"/>
  <c r="E57" i="1"/>
  <c r="G57" i="1" s="1"/>
  <c r="E56" i="1"/>
  <c r="G56" i="1" s="1"/>
  <c r="G55" i="1"/>
  <c r="E55" i="1"/>
  <c r="E54" i="1"/>
  <c r="G54" i="1" s="1"/>
  <c r="G53" i="1"/>
  <c r="G52" i="1"/>
  <c r="E52" i="1"/>
  <c r="E51" i="1"/>
  <c r="E39" i="1" s="1"/>
  <c r="G39" i="1" s="1"/>
  <c r="G49" i="1"/>
  <c r="E49" i="1"/>
  <c r="E40" i="1" s="1"/>
  <c r="E48" i="1"/>
  <c r="G48" i="1" s="1"/>
  <c r="E47" i="1"/>
  <c r="G47" i="1" s="1"/>
  <c r="G46" i="1"/>
  <c r="E46" i="1"/>
  <c r="E45" i="1"/>
  <c r="G45" i="1" s="1"/>
  <c r="E44" i="1"/>
  <c r="G44" i="1" s="1"/>
  <c r="G43" i="1"/>
  <c r="E43" i="1"/>
  <c r="E42" i="1"/>
  <c r="G42" i="1" s="1"/>
  <c r="G41" i="1"/>
  <c r="E41" i="1"/>
  <c r="G33" i="1"/>
  <c r="E33" i="1"/>
  <c r="E32" i="1"/>
  <c r="G32" i="1" s="1"/>
  <c r="E31" i="1"/>
  <c r="G31" i="1" s="1"/>
  <c r="G29" i="1"/>
  <c r="E29" i="1"/>
  <c r="E28" i="1"/>
  <c r="G26" i="1"/>
  <c r="G25" i="1"/>
  <c r="G24" i="1"/>
  <c r="E24" i="1"/>
  <c r="E23" i="1"/>
  <c r="G23" i="1" s="1"/>
  <c r="G22" i="1"/>
  <c r="E22" i="1"/>
  <c r="E21" i="1"/>
  <c r="G21" i="1" s="1"/>
  <c r="E20" i="1"/>
  <c r="G20" i="1" s="1"/>
  <c r="E19" i="1"/>
  <c r="G19" i="1" s="1"/>
  <c r="E18" i="1"/>
  <c r="G18" i="1" s="1"/>
  <c r="E17" i="1"/>
  <c r="G17" i="1" s="1"/>
  <c r="G16" i="1"/>
  <c r="E16" i="1"/>
  <c r="E15" i="1"/>
  <c r="G15" i="1" s="1"/>
  <c r="E13" i="1"/>
  <c r="E34" i="1" s="1"/>
  <c r="G34" i="1" s="1"/>
  <c r="E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1" i="1" s="1"/>
  <c r="A52" i="1" s="1"/>
  <c r="A53" i="1" s="1"/>
  <c r="A54" i="1" s="1"/>
  <c r="A55" i="1" s="1"/>
  <c r="A56" i="1" s="1"/>
  <c r="A57" i="1" s="1"/>
  <c r="A59" i="1" s="1"/>
  <c r="A60" i="1" s="1"/>
  <c r="A61" i="1" s="1"/>
  <c r="A62" i="1" s="1"/>
  <c r="A63" i="1" s="1"/>
  <c r="A64" i="1" s="1"/>
  <c r="A65" i="1" s="1"/>
  <c r="A66" i="1" s="1"/>
  <c r="A68" i="1" s="1"/>
  <c r="A69" i="1" s="1"/>
  <c r="A70" i="1" s="1"/>
  <c r="A71" i="1" s="1"/>
  <c r="A72" i="1" s="1"/>
  <c r="A73" i="1" s="1"/>
  <c r="A74" i="1" s="1"/>
  <c r="A76" i="1" s="1"/>
  <c r="G11" i="1"/>
  <c r="G40" i="1" l="1"/>
  <c r="E38" i="1"/>
  <c r="G38" i="1" s="1"/>
  <c r="E30" i="1"/>
  <c r="G30" i="1" s="1"/>
  <c r="E82" i="1"/>
  <c r="G82" i="1" s="1"/>
  <c r="E113" i="1"/>
  <c r="G113" i="1" s="1"/>
  <c r="E76" i="1"/>
  <c r="G76" i="1" s="1"/>
  <c r="G13" i="1"/>
  <c r="E37" i="1"/>
  <c r="G37" i="1" s="1"/>
  <c r="G28" i="1"/>
  <c r="E14" i="1"/>
  <c r="G14" i="1" s="1"/>
  <c r="G51" i="1"/>
  <c r="G80" i="1"/>
  <c r="G127" i="1" s="1"/>
  <c r="G12" i="1"/>
  <c r="E105" i="1"/>
  <c r="G105" i="1" s="1"/>
  <c r="G77" i="1" l="1"/>
  <c r="F129" i="1" s="1"/>
  <c r="F130" i="1" s="1"/>
  <c r="F131" i="1" s="1"/>
</calcChain>
</file>

<file path=xl/sharedStrings.xml><?xml version="1.0" encoding="utf-8"?>
<sst xmlns="http://schemas.openxmlformats.org/spreadsheetml/2006/main" count="351" uniqueCount="162">
  <si>
    <t>LP</t>
  </si>
  <si>
    <t>Nr SST</t>
  </si>
  <si>
    <t>Wyszczególnienie elementów rozliczeniowych</t>
  </si>
  <si>
    <t>Jednostka</t>
  </si>
  <si>
    <t xml:space="preserve">  Cena jedn.   netto</t>
  </si>
  <si>
    <t>Wartość  netto</t>
  </si>
  <si>
    <t>jm</t>
  </si>
  <si>
    <t>Ilość</t>
  </si>
  <si>
    <t>DROGA – UL. KOLEJOWA</t>
  </si>
  <si>
    <t>I</t>
  </si>
  <si>
    <t>ROBOTY PRZYGOTOWAWCZE</t>
  </si>
  <si>
    <t>01.01.01</t>
  </si>
  <si>
    <t xml:space="preserve">Odtworzenie trasy w terenie równinnym       </t>
  </si>
  <si>
    <t>km</t>
  </si>
  <si>
    <t>01.02.02</t>
  </si>
  <si>
    <r>
      <rPr>
        <sz val="10"/>
        <rFont val="Times New Roman CE"/>
        <family val="1"/>
        <charset val="238"/>
      </rPr>
      <t>Zdjęcie warstwy humusu grub. 5</t>
    </r>
    <r>
      <rPr>
        <sz val="10"/>
        <rFont val="Calibri"/>
        <family val="2"/>
        <charset val="1"/>
      </rPr>
      <t>÷25</t>
    </r>
    <r>
      <rPr>
        <sz val="10"/>
        <rFont val="Times New Roman CE"/>
        <family val="1"/>
        <charset val="238"/>
      </rPr>
      <t xml:space="preserve"> cm  </t>
    </r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</si>
  <si>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3</t>
    </r>
  </si>
  <si>
    <t>Złożenie/odwóz części humusu na odkład na składowisko Wykonawcy (humusowanie)</t>
  </si>
  <si>
    <t>Odwóz nadmiaru humusu i darniny poza teren budowy wraz z utylizacją</t>
  </si>
  <si>
    <t>01.02.04</t>
  </si>
  <si>
    <t xml:space="preserve">Rozbiórka istn nawierzchni bitumicznej -cięcie krawędzi jezdni piłą mechan. śr. 4 cm szer.,  z odwozem gruzu poza teren budowy i utylizacją -poszerzenie. </t>
  </si>
  <si>
    <r>
      <rPr>
        <sz val="10"/>
        <rFont val="Times New Roman CE"/>
        <family val="1"/>
        <charset val="238"/>
      </rPr>
      <t>m</t>
    </r>
    <r>
      <rPr>
        <vertAlign val="superscript"/>
        <sz val="10"/>
        <rFont val="Times New Roman CE"/>
        <charset val="238"/>
      </rPr>
      <t>2</t>
    </r>
  </si>
  <si>
    <t>Rozbiórka istn nawierzchni bitumicznej z odcięciem piłą mechan.,  z odwozem gruzu poza teren budowy i utylizacją -ściek przykrawężnik.</t>
  </si>
  <si>
    <t>01.02.05</t>
  </si>
  <si>
    <t>Rozbiórka istn nawierzchni bitumicznej z odcięciem piłą mechan.,  z odwozem gruzu poza teren budowy i utylizacją -zjazd w osiedle, próg, roboty kanalizac..</t>
  </si>
  <si>
    <t>m3</t>
  </si>
  <si>
    <t>Rozbiórka nawierzchni zjazdu z kostki brukowej beton. ze złożeniem na odkład</t>
  </si>
  <si>
    <t>Rozbiórka nawierzchni progu z kostki brukowej beton. wraz z podbudową ze złożeniem na odkład/odwozem materiału</t>
  </si>
  <si>
    <t>Rozbiórka krawężnika 15x30 na ławie beton., z odwozem gruzu poza teren budowy i utylizacją</t>
  </si>
  <si>
    <t>m</t>
  </si>
  <si>
    <t>Rozbiórka obrzeży beton na ławie beton., ze złożeniem na odkład – roboty kanalizac</t>
  </si>
  <si>
    <t xml:space="preserve">Rozbiórka obrzeży beton na ławie beton., z odwozem gruzu poza teren budowy i utylizacją -zatoka post. </t>
  </si>
  <si>
    <t>Rozbiórka nawierzchni z płytek betonowych grub. 5cm z odwozem gruzu poza teren budowy i utylizacją – chodnik</t>
  </si>
  <si>
    <t>Rozbiórka nawierzchni z płytek betonowych grub. 5cm ze złożeniem na odkład (kanaliza deszcz) – chodnik</t>
  </si>
  <si>
    <t>Rozbiórka istn oznakowania pionowego z odwozem (znaki +słupki) na składowisko Inwestora</t>
  </si>
  <si>
    <t>szt.</t>
  </si>
  <si>
    <t>01.03.07</t>
  </si>
  <si>
    <t xml:space="preserve">Regulacja wysokościowa istn. skrzynek zasów (woda, gaz) </t>
  </si>
  <si>
    <t>II</t>
  </si>
  <si>
    <t>ROBOTY ZIEMNE</t>
  </si>
  <si>
    <t>02.00.01 02.01.01</t>
  </si>
  <si>
    <t xml:space="preserve">Wykopy mechaniczne w gruncie kat. I-IV - z transportem poprzecznym gruntu w nasyp </t>
  </si>
  <si>
    <r>
      <rPr>
        <sz val="10"/>
        <rFont val="Times New Roman"/>
        <family val="1"/>
        <charset val="1"/>
      </rPr>
      <t>m</t>
    </r>
    <r>
      <rPr>
        <vertAlign val="superscript"/>
        <sz val="10"/>
        <rFont val="Times New Roman"/>
        <family val="1"/>
        <charset val="1"/>
      </rPr>
      <t>3</t>
    </r>
  </si>
  <si>
    <t>Wykopy mechaniczne w gruncie kat. I-IV - z transportem podłużnym (do 0,5 km) gruntu w nasyp</t>
  </si>
  <si>
    <t>02.00.01 02.03.01</t>
  </si>
  <si>
    <t>Formowanie mechanicznie nasypów gruntem z wykopu wraz z zagęszczaniem gruntu, grunt kat. I-IV</t>
  </si>
  <si>
    <t xml:space="preserve">Wykopy mechaniczne w gruncie kat. II-IV - z transportem poza teren budowy i utylizacją </t>
  </si>
  <si>
    <t>Wykopy mechaniczne w gruncie kat. II-IV - z transportem poza teren budowy i utylizacją - zjazdy</t>
  </si>
  <si>
    <t>Wykonanie mechanicznie nasypów z mieszanki kruszywa 0/31,5 (granit) na geotkaninie 50x50 kN, wraz z zagęszczeniem - pobocza grub. 20 cm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</si>
  <si>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2</t>
    </r>
  </si>
  <si>
    <t>02.01.01 02.03.01</t>
  </si>
  <si>
    <t>Plantowanie korony i skarp nasypów i wykopów (powierzchnie humus.), grunt kat. I–IV</t>
  </si>
  <si>
    <t>III</t>
  </si>
  <si>
    <t>ODWODNIENIE</t>
  </si>
  <si>
    <t>IV</t>
  </si>
  <si>
    <t>PODBUDOWA</t>
  </si>
  <si>
    <t>04.01.01</t>
  </si>
  <si>
    <t xml:space="preserve">Wykonanie mechaniczne profilowania i zagęszczenia podłoża grunt. kat I-IV pod konstrukcję jezdni, chodników, zjazdów, poboczy: </t>
  </si>
  <si>
    <t>04.03.01</t>
  </si>
  <si>
    <t xml:space="preserve">Oczyszczenie warstw konstrukcyjnych                </t>
  </si>
  <si>
    <t xml:space="preserve">Skropienie warstw konstrukcyjnych bitumicznych w il. wg SST wraz z zabezpieczeniem powierzchni roztworem mleczka wapiennego  - jezdnia      </t>
  </si>
  <si>
    <t>Skropienie warstw konstrukcyjnych niebitumicznych w il. wg SST wraz z zabezpieczeniem powierzchni roztworem mleczka wapiennego -  jezdnia</t>
  </si>
  <si>
    <t>04.04.02</t>
  </si>
  <si>
    <t>Podbudowa z mieszanki niezwiązanej z kruszywa łamanego 0/31,5 stabilizowanego mechanicznie grub. 20,0 cm jezdnia, roboty kanalizac.</t>
  </si>
  <si>
    <t>Podbudowa z mieszanki niezwiązanej z kruszywa łamanego 0/31,5 stabilizowanego mechanicznie grub. 20,0cm -zjazdy</t>
  </si>
  <si>
    <t>04.05.01</t>
  </si>
  <si>
    <t>Wzmocnienie podłoża z mieszanki związanej cementem C3/4 (z betoniarni), grub.10 cm -jezdnia, próg, roboty kanalizac.</t>
  </si>
  <si>
    <t>Wzmocnienie podłoża z mieszanki związanej cementem C3/4 (z betoniarni), grub.10 cm -zjazdy</t>
  </si>
  <si>
    <t>Wzmocnienie podłoża z mieszanki związanej cementem C3/4 (z betoniarni), grub.3 cm -zjazdy</t>
  </si>
  <si>
    <t>04.06.01</t>
  </si>
  <si>
    <t>Podbudowa  z mieszanki związanej cementem C3/4 (z betoniarki), grub.10 cm -chodnik</t>
  </si>
  <si>
    <t>Podbudowa  z mieszanki związanej cementem C12/15 (z betoniarki), grub.20 cm -próg</t>
  </si>
  <si>
    <t>05.03.05a</t>
  </si>
  <si>
    <t>Wykonanie warstwy wyrównawczej z betonu asfaltowego AC11W grub wg potrzeb</t>
  </si>
  <si>
    <t>04.07.01</t>
  </si>
  <si>
    <t>Wykonanie warstwy podbudowy z betonu asfaltowego AC22P grub. 8,0 cm – jezdnia, roboty kanalizac.</t>
  </si>
  <si>
    <t>V</t>
  </si>
  <si>
    <t>NAWIERZCHNIA</t>
  </si>
  <si>
    <t>Wykonanie warstwy ścieralnej z betonu asfaltowego AC11S, grub. 4,0 cm              jezdnia =1319,43-120,29*0,2-6,4*5</t>
  </si>
  <si>
    <t>Wykonanie warstwy ścieralnej z betonu asfaltowego AC11S, grub. śr. 4,0 cm    połączenie z istn. nawierzchnią</t>
  </si>
  <si>
    <t>05.03.11</t>
  </si>
  <si>
    <t>Frezowanie profilujące istn nawierzchni bitum</t>
  </si>
  <si>
    <t>Frezowanie nawierzchni bitum – na połączeniu z istn. jezdnią do 4 cm</t>
  </si>
  <si>
    <t>05.03.23</t>
  </si>
  <si>
    <t>Nawierzchnia z kostki brukowej betonowej grafit., grub. 8,0 cm na podsypce cem.-piaskowej grub. 5,0 cm - zjazd</t>
  </si>
  <si>
    <t>Nawierzchnia z kostki brukowej betonowej kolor., grub. 8,0 cm na podsypce cem.-piaskowej grub. 5,0 cm – próg zwaln.</t>
  </si>
  <si>
    <t>Nawierzchnia z kostki brukowej betonowej z rozbiórki, grub. 8,0 cm na podsypce cem.-piaskowej grub. wg potrzeb - przełożenie zjazdu</t>
  </si>
  <si>
    <t>VI</t>
  </si>
  <si>
    <t>ELEMENTY ULIC</t>
  </si>
  <si>
    <t>08.01.01</t>
  </si>
  <si>
    <t>Ustawienie krawężników betonowych 15x30 (łukowe dla R≤12m) na ławie beton. z oporem z betonu C12/15</t>
  </si>
  <si>
    <t>Ustawienie krawężników beton. najazdowych 15x22 (w tym skośnych) na ławie beton. z oporem z betonu C12/15</t>
  </si>
  <si>
    <t>Ustawienie oporników betonowych 10x25 na ławie beton. z oporem z betonu C12/15:  zjazdy, próg</t>
  </si>
  <si>
    <t>08.03.01</t>
  </si>
  <si>
    <t>Ustawienie obrzeży betonowych 8x30  na ławie betonowej z oporem:  chodnik</t>
  </si>
  <si>
    <t>Ustawienie obrzeży betonowych 6x20  z rozbiórki na ławie betonowej z oporem:  chodnik po robotach kanaliz</t>
  </si>
  <si>
    <t>08.02.02</t>
  </si>
  <si>
    <t xml:space="preserve">Chodnik z kostki brukowej betonowej, grub. 8,0 cm na podsypce cem.-piaskowej grub. 5,0 cm    </t>
  </si>
  <si>
    <t>Chodnik z płytek beton. z rozbiórki, grub. 5,0 cm na podsypce cem.-piaskowej grub. 5,0 cm    p robotach kanalizacyjnych</t>
  </si>
  <si>
    <t>08.05.01</t>
  </si>
  <si>
    <t>Ułożenie ścieku szerok. 20 cm z kostki brukowej betonowej szarej 10x20x8  na ławie betonowej z C12/15</t>
  </si>
  <si>
    <t>VII</t>
  </si>
  <si>
    <t xml:space="preserve">URZĄDZENIA BEZPIECZEŃSTWA RUCHU  </t>
  </si>
  <si>
    <t>07.01.01</t>
  </si>
  <si>
    <t>Oznakowanie poziome jezdni materiałami cienkowarstwo-wymi  - linie na skrzyżowaniach i przejściach</t>
  </si>
  <si>
    <t>07.02.01</t>
  </si>
  <si>
    <t>Oznakowanie pionowe - ustawienie znaków drogowych pionowych odblaskowych (folia -2 gen, małe, krawędź podwójnie gięta na całym obwodzie, ocynk.) na słupkach z rur stalowych ocynkowanych 2,5" - znaki typu A</t>
  </si>
  <si>
    <t>Oznakowanie pionowe - ustawienie znaków drogowych pionowych odblaskowych (folia -2gen, małe, krawędź podwójnie gięta na całym obwodzie, ocynk.) na słupkach z rur stalowych ocynkowanych 2,5" - znaki typu B,C</t>
  </si>
  <si>
    <t>Oznakowanie pionowe - ustawienie znaków drogowych pionowych odblaskowych (folia -2gen, małe, krawędź podwójnie gięta na całym obwodzie, ocynk.) na słupkach z rur stalowych ocynkowanych 2" - znaki typu D (D-6)</t>
  </si>
  <si>
    <t>Oznakowanie pionowe - ustawienie znaków drogowych pionowych odblaskowych (folia -2gen, małe, krawędź podwójnie gięta na całym obwodzie, ocynk.) na słupkach z rur stalowych ocynkowanych 2,5" - znaki typu D, E</t>
  </si>
  <si>
    <t>Oznakowanie pionowe - ustawienie znaków drogowych pionowych odblaskowych (folia -2gen, małe, krawędź podwójnie gięta na całym obwodzie, ocynk.)  - tabliczki pod znaki typu T</t>
  </si>
  <si>
    <t>07.02.02</t>
  </si>
  <si>
    <t>Montaż punktowych elementów odblaskowych</t>
  </si>
  <si>
    <t xml:space="preserve">szt. </t>
  </si>
  <si>
    <t>VIII</t>
  </si>
  <si>
    <t>ROBOTY WYKOŃCZENIOWE</t>
  </si>
  <si>
    <t>06.01.01</t>
  </si>
  <si>
    <t xml:space="preserve">Humusowanie  z obsianiem nasionami traw – grubość w-wy humusu 10 cm </t>
  </si>
  <si>
    <t xml:space="preserve">RAZEM DROGA – UL. KOLEJOWA ( netto)   </t>
  </si>
  <si>
    <t>zł</t>
  </si>
  <si>
    <t>DROGA – OS. PKP</t>
  </si>
  <si>
    <t xml:space="preserve">Zdjęcie warstwy humusu grub. 5÷50 cm  </t>
  </si>
  <si>
    <t xml:space="preserve">Złożenie/odwóz części humusu na odkład na składowisko Wykonawcy (humusowanie)                                                    </t>
  </si>
  <si>
    <t>Rozbiórka istn nawierzchni tłuczniowej  grub. 20-25 cm, z odwozem materiału poza teren budowy wraz z utylizacją</t>
  </si>
  <si>
    <t>Rozbiórka istn nawierzchni betonowej grub. śr. 20 cm, z odwozem materiału poza teren budowy wraz z utylizacją</t>
  </si>
  <si>
    <t xml:space="preserve">Rozbiórka nawierzchni chodnika z kostki beton., ze złożeniem na odkład </t>
  </si>
  <si>
    <t xml:space="preserve">Rozbiórka krawężnika 15x30 na ławie beton., z odwozem gruzu poza teren budowy i utylizacją   </t>
  </si>
  <si>
    <t xml:space="preserve">Rozbiórka obrzeży betonowych na ławie beton., z odwozem gruzu poza teren budowy i utylizacją   </t>
  </si>
  <si>
    <t>01.02.01</t>
  </si>
  <si>
    <t>Wycinka drzew wraz z karczowaniem, odwóz poza teren budowy, z utylizacją, drzewa Ø do 15cm</t>
  </si>
  <si>
    <t>szt</t>
  </si>
  <si>
    <t>Wycinka drzew wraz z karczowaniem, odwóz poza teren budowy, z utylizacją, drzewa Ø 16-25cm</t>
  </si>
  <si>
    <t>Wycinka drzew wraz z karczowaniem, odwóz poza teren budowy,z utylizacją, drzewa Ø 26-35cm</t>
  </si>
  <si>
    <t>Wycinka drzew wraz z karczowaniem, odwóz poza teren budowy, z utylizacją, drzewa Ø 36-45cm</t>
  </si>
  <si>
    <t>Wycinka krzewów wraz z karczowaniem, odwóz poza teren budowy, z utylizacją</t>
  </si>
  <si>
    <t xml:space="preserve">Rozbiórka kanału ciepłowniczego (nieczynnego), z odwozem gruzu poza teren budowy i utylizacją   </t>
  </si>
  <si>
    <t>01.03.04</t>
  </si>
  <si>
    <r>
      <rPr>
        <sz val="10"/>
        <rFont val="Times New Roman"/>
        <family val="1"/>
        <charset val="238"/>
      </rPr>
      <t xml:space="preserve">Zabezpieczenie istn. kabli telekom. w rurach osłonowych dwudzielnych </t>
    </r>
    <r>
      <rPr>
        <sz val="10"/>
        <rFont val="Times New Roman"/>
        <family val="1"/>
        <charset val="1"/>
      </rPr>
      <t>Ø 100mm</t>
    </r>
  </si>
  <si>
    <t xml:space="preserve">Regulacja wysokościowa istn. studni rewizyjnych (kanalizacja) </t>
  </si>
  <si>
    <t xml:space="preserve">Regulacja wysokościowa istn. studni rewizyjnych (telekom) </t>
  </si>
  <si>
    <t xml:space="preserve">Przestawienie  hydrantu sieci wodociągowej </t>
  </si>
  <si>
    <t>Wykopy mechaniczne w gruncie kat. II-IV - z transportem poza teren budowy i utylizacją</t>
  </si>
  <si>
    <t>Wykonanie mechaniczne profilowania i zagęszczenia podłoża grunt. kat I-IV pod konstrukcję jezdni, chodnika, zjazdów, poboczy</t>
  </si>
  <si>
    <t>Podbudowa z mieszanki niezwiązanej z kruszywa łamanego 0/31,5 stabilizowanego mechanicznie grub. 20,0 cm – jezdnia, zjazdy</t>
  </si>
  <si>
    <t>Wzmocnienie podłoża z mieszanki związanej cementem C3/4 (z betoniarni), grub.10 cm – jezdnia, zjazdy</t>
  </si>
  <si>
    <t>Wzmocnienie podłoża z mieszanki związanej cementem C3/4 (z betoniarni), grub.9 cm – ściek</t>
  </si>
  <si>
    <t>Wzmocnienie podłoża z mieszanki związanej cementem C3/4 (z betoniarni), grub.3 cm opornik zjazdy</t>
  </si>
  <si>
    <t>Podbudowa z mieszanki związanej cementem C3/4 (z betoniarni), grub.10 cm – chodnik</t>
  </si>
  <si>
    <t>Nawierzchnia z kostki brukowej betonowej, grub. 8,0 cm na podsypce cem.-piaskowej grub. 5,0 cm - jezdnia</t>
  </si>
  <si>
    <t>Nawierzchnia z kostki brukowej betonowej grafit, grub. 8,0 cm na podsypce cem.-piaskowej grub. 5,0 cm - zjazdy</t>
  </si>
  <si>
    <t>Ustawienie oporników betonowych 10x25 na ławie beton. z oporem z betonu C12/15</t>
  </si>
  <si>
    <t>Chodnik z kostki brukowej betonowej  z rozbiórki, na podsypce cem.-piaskowej grub. 5,0 cm</t>
  </si>
  <si>
    <t>Ustawienie obrzeży beton. 6x20 na ławie beton. z oporem z betonu C12/15</t>
  </si>
  <si>
    <t>08.05.02</t>
  </si>
  <si>
    <t>Ułożenie ścieku szerok. 50 cm z kostki brukowej betonowej szarej 10x20x8  na ławie betonowej z C12/15</t>
  </si>
  <si>
    <t xml:space="preserve">Humusowanie  z obsianiem nasionami traw – grubość w-wy humusu 5 cm </t>
  </si>
  <si>
    <t xml:space="preserve">RAZEM DROGA – OS. PKP ( netto)   </t>
  </si>
  <si>
    <t>Ogółem ( netto)</t>
  </si>
  <si>
    <t xml:space="preserve">       zł   </t>
  </si>
  <si>
    <t>Podatek VAT</t>
  </si>
  <si>
    <t>Ogółem ( brutto )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</si>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</sst>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4" x14ac:knownFonts="1"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rgb="FFFFFFFF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Calibri"/>
      <family val="2"/>
      <charset val="1"/>
    </font>
    <font>
      <vertAlign val="superscript"/>
      <sz val="10"/>
      <name val="Times New Roman"/>
      <family val="1"/>
      <charset val="238"/>
    </font>
    <font>
      <vertAlign val="superscript"/>
      <sz val="10"/>
      <name val="Times New Roman CE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vertAlign val="superscript"/>
      <sz val="10"/>
      <name val="Times New Roman"/>
      <family val="1"/>
      <charset val="1"/>
    </font>
    <font>
      <sz val="8"/>
      <color rgb="FFFF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rgb="FFFF0000"/>
      <name val="Times New Roman"/>
      <family val="1"/>
      <charset val="1"/>
    </font>
    <font>
      <sz val="10"/>
      <color rgb="FFFF0000"/>
      <name val="Arial CE"/>
      <charset val="238"/>
    </font>
    <font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8"/>
      <color rgb="FFFFFF00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horizontal="left" vertical="top" wrapText="1"/>
      <protection locked="0"/>
    </xf>
  </cellStyleXfs>
  <cellXfs count="134">
    <xf numFmtId="0" fontId="0" fillId="0" borderId="0" xfId="0">
      <alignment horizontal="left" vertical="top" wrapText="1"/>
      <protection locked="0"/>
    </xf>
    <xf numFmtId="0" fontId="15" fillId="0" borderId="15" xfId="0" applyFont="1" applyBorder="1" applyAlignment="1">
      <alignment vertical="center"/>
      <protection locked="0"/>
    </xf>
    <xf numFmtId="0" fontId="1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>
      <alignment vertical="top" wrapText="1"/>
      <protection locked="0"/>
    </xf>
    <xf numFmtId="2" fontId="1" fillId="0" borderId="0" xfId="0" applyNumberFormat="1" applyFont="1" applyAlignment="1">
      <alignment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  <protection locked="0"/>
    </xf>
    <xf numFmtId="1" fontId="3" fillId="0" borderId="7" xfId="0" applyNumberFormat="1" applyFont="1" applyBorder="1" applyAlignment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top"/>
    </xf>
    <xf numFmtId="0" fontId="11" fillId="0" borderId="15" xfId="0" applyFont="1" applyBorder="1" applyAlignment="1" applyProtection="1">
      <alignment horizontal="center" vertical="top"/>
    </xf>
    <xf numFmtId="0" fontId="0" fillId="0" borderId="15" xfId="0" applyBorder="1">
      <alignment horizontal="left" vertical="top" wrapText="1"/>
      <protection locked="0"/>
    </xf>
    <xf numFmtId="0" fontId="0" fillId="0" borderId="15" xfId="0" applyBorder="1" applyAlignment="1" applyProtection="1">
      <alignment horizontal="center" vertical="top"/>
    </xf>
    <xf numFmtId="2" fontId="9" fillId="0" borderId="15" xfId="0" applyNumberFormat="1" applyFont="1" applyBorder="1" applyAlignment="1">
      <alignment horizontal="center" vertical="top"/>
      <protection locked="0"/>
    </xf>
    <xf numFmtId="4" fontId="9" fillId="0" borderId="16" xfId="0" applyNumberFormat="1" applyFont="1" applyBorder="1" applyAlignment="1" applyProtection="1">
      <alignment vertical="top" wrapText="1"/>
    </xf>
    <xf numFmtId="0" fontId="8" fillId="0" borderId="15" xfId="0" applyFont="1" applyBorder="1" applyAlignment="1">
      <alignment horizontal="center" vertical="top" wrapText="1"/>
      <protection locked="0"/>
    </xf>
    <xf numFmtId="0" fontId="9" fillId="0" borderId="15" xfId="0" applyFont="1" applyBorder="1" applyAlignment="1" applyProtection="1">
      <alignment horizontal="center" vertical="top"/>
    </xf>
    <xf numFmtId="164" fontId="9" fillId="0" borderId="15" xfId="0" applyNumberFormat="1" applyFont="1" applyBorder="1" applyAlignment="1">
      <alignment horizontal="center" vertical="top" wrapText="1"/>
      <protection locked="0"/>
    </xf>
    <xf numFmtId="0" fontId="9" fillId="0" borderId="15" xfId="0" applyFont="1" applyBorder="1">
      <alignment horizontal="left" vertical="top" wrapText="1"/>
      <protection locked="0"/>
    </xf>
    <xf numFmtId="0" fontId="15" fillId="0" borderId="14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5" fillId="0" borderId="15" xfId="0" applyFont="1" applyBorder="1" applyAlignment="1">
      <alignment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  <protection locked="0"/>
    </xf>
    <xf numFmtId="2" fontId="17" fillId="0" borderId="15" xfId="0" applyNumberFormat="1" applyFont="1" applyBorder="1" applyAlignment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top" wrapText="1"/>
    </xf>
    <xf numFmtId="0" fontId="18" fillId="0" borderId="15" xfId="0" applyFont="1" applyBorder="1" applyAlignment="1" applyProtection="1">
      <alignment horizontal="center" vertical="top" wrapText="1"/>
    </xf>
    <xf numFmtId="0" fontId="19" fillId="0" borderId="15" xfId="0" applyFont="1" applyBorder="1">
      <alignment horizontal="left" vertical="top" wrapText="1"/>
      <protection locked="0"/>
    </xf>
    <xf numFmtId="0" fontId="19" fillId="0" borderId="15" xfId="0" applyFont="1" applyBorder="1" applyAlignment="1" applyProtection="1">
      <alignment horizontal="center" vertical="top" wrapText="1"/>
    </xf>
    <xf numFmtId="164" fontId="19" fillId="0" borderId="15" xfId="0" applyNumberFormat="1" applyFont="1" applyBorder="1" applyAlignment="1">
      <alignment horizontal="center" vertical="top" wrapText="1"/>
      <protection locked="0"/>
    </xf>
    <xf numFmtId="0" fontId="11" fillId="0" borderId="15" xfId="0" applyFont="1" applyBorder="1" applyAlignment="1" applyProtection="1">
      <alignment horizontal="center" vertical="top" wrapText="1"/>
    </xf>
    <xf numFmtId="0" fontId="9" fillId="0" borderId="15" xfId="0" applyFont="1" applyBorder="1" applyAlignment="1" applyProtection="1">
      <alignment horizontal="center" vertical="top" wrapText="1"/>
    </xf>
    <xf numFmtId="0" fontId="15" fillId="0" borderId="14" xfId="0" applyFont="1" applyBorder="1" applyAlignment="1" applyProtection="1">
      <alignment horizontal="center" vertical="top" wrapText="1"/>
    </xf>
    <xf numFmtId="0" fontId="21" fillId="0" borderId="15" xfId="0" applyFont="1" applyBorder="1" applyAlignment="1" applyProtection="1">
      <alignment horizontal="center" vertical="center" wrapText="1"/>
    </xf>
    <xf numFmtId="0" fontId="22" fillId="0" borderId="15" xfId="0" applyFont="1" applyBorder="1" applyAlignment="1">
      <alignment vertical="center" wrapText="1"/>
      <protection locked="0"/>
    </xf>
    <xf numFmtId="2" fontId="17" fillId="0" borderId="15" xfId="0" applyNumberFormat="1" applyFont="1" applyBorder="1" applyAlignment="1">
      <alignment horizontal="center" vertical="top"/>
      <protection locked="0"/>
    </xf>
    <xf numFmtId="164" fontId="9" fillId="0" borderId="15" xfId="0" applyNumberFormat="1" applyFont="1" applyBorder="1" applyAlignment="1">
      <alignment horizontal="right" vertical="center" wrapText="1"/>
      <protection locked="0"/>
    </xf>
    <xf numFmtId="4" fontId="10" fillId="0" borderId="16" xfId="0" applyNumberFormat="1" applyFont="1" applyBorder="1" applyAlignment="1" applyProtection="1">
      <alignment vertical="top" wrapText="1"/>
    </xf>
    <xf numFmtId="0" fontId="19" fillId="0" borderId="15" xfId="0" applyFont="1" applyBorder="1" applyProtection="1">
      <alignment horizontal="left" vertical="top" wrapText="1"/>
    </xf>
    <xf numFmtId="4" fontId="9" fillId="0" borderId="15" xfId="0" applyNumberFormat="1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center" vertical="center" wrapText="1"/>
    </xf>
    <xf numFmtId="4" fontId="17" fillId="0" borderId="15" xfId="0" applyNumberFormat="1" applyFont="1" applyBorder="1" applyAlignment="1" applyProtection="1">
      <alignment horizontal="center" vertical="top" wrapText="1"/>
    </xf>
    <xf numFmtId="0" fontId="9" fillId="0" borderId="15" xfId="0" applyFont="1" applyBorder="1" applyProtection="1">
      <alignment horizontal="left" vertical="top" wrapText="1"/>
    </xf>
    <xf numFmtId="2" fontId="9" fillId="0" borderId="15" xfId="0" applyNumberFormat="1" applyFont="1" applyBorder="1" applyAlignment="1" applyProtection="1">
      <alignment horizontal="center" vertical="top"/>
    </xf>
    <xf numFmtId="0" fontId="24" fillId="0" borderId="15" xfId="0" applyFont="1" applyBorder="1" applyAlignment="1" applyProtection="1">
      <alignment horizontal="center" vertical="center" wrapText="1"/>
    </xf>
    <xf numFmtId="2" fontId="19" fillId="0" borderId="15" xfId="0" applyNumberFormat="1" applyFont="1" applyBorder="1" applyAlignment="1">
      <alignment horizontal="center" vertical="top"/>
      <protection locked="0"/>
    </xf>
    <xf numFmtId="0" fontId="15" fillId="0" borderId="14" xfId="0" applyFont="1" applyBorder="1" applyAlignment="1" applyProtection="1">
      <alignment horizontal="center" vertical="top"/>
    </xf>
    <xf numFmtId="0" fontId="23" fillId="0" borderId="15" xfId="0" applyFont="1" applyBorder="1" applyAlignment="1" applyProtection="1">
      <alignment horizontal="center" vertical="center"/>
    </xf>
    <xf numFmtId="0" fontId="25" fillId="0" borderId="15" xfId="0" applyFont="1" applyBorder="1" applyAlignment="1">
      <alignment vertical="center"/>
      <protection locked="0"/>
    </xf>
    <xf numFmtId="0" fontId="0" fillId="0" borderId="15" xfId="0" applyBorder="1" applyProtection="1">
      <alignment horizontal="left" vertical="top" wrapText="1"/>
    </xf>
    <xf numFmtId="0" fontId="26" fillId="0" borderId="14" xfId="0" applyFont="1" applyBorder="1" applyAlignment="1" applyProtection="1">
      <alignment horizontal="center" vertical="top"/>
    </xf>
    <xf numFmtId="164" fontId="17" fillId="0" borderId="15" xfId="0" applyNumberFormat="1" applyFont="1" applyBorder="1" applyAlignment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top"/>
    </xf>
    <xf numFmtId="0" fontId="11" fillId="0" borderId="5" xfId="0" applyFont="1" applyBorder="1" applyAlignment="1" applyProtection="1">
      <alignment horizontal="center" vertical="top"/>
    </xf>
    <xf numFmtId="0" fontId="9" fillId="0" borderId="5" xfId="0" applyFont="1" applyBorder="1">
      <alignment horizontal="left" vertical="top" wrapText="1"/>
      <protection locked="0"/>
    </xf>
    <xf numFmtId="0" fontId="9" fillId="0" borderId="5" xfId="0" applyFont="1" applyBorder="1" applyAlignment="1" applyProtection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  <protection locked="0"/>
    </xf>
    <xf numFmtId="2" fontId="9" fillId="0" borderId="5" xfId="0" applyNumberFormat="1" applyFont="1" applyBorder="1" applyAlignment="1">
      <alignment horizontal="center" vertical="top"/>
      <protection locked="0"/>
    </xf>
    <xf numFmtId="4" fontId="9" fillId="0" borderId="18" xfId="0" applyNumberFormat="1" applyFont="1" applyBorder="1" applyAlignment="1" applyProtection="1">
      <alignment vertical="top" wrapText="1"/>
    </xf>
    <xf numFmtId="0" fontId="9" fillId="0" borderId="6" xfId="0" applyFont="1" applyBorder="1" applyAlignment="1" applyProtection="1">
      <alignment horizontal="center" vertical="top"/>
    </xf>
    <xf numFmtId="0" fontId="11" fillId="0" borderId="7" xfId="0" applyFont="1" applyBorder="1" applyAlignment="1" applyProtection="1">
      <alignment horizontal="center" vertical="top"/>
    </xf>
    <xf numFmtId="4" fontId="9" fillId="0" borderId="7" xfId="0" applyNumberFormat="1" applyFont="1" applyBorder="1" applyAlignment="1" applyProtection="1">
      <alignment horizontal="center" vertical="center" wrapText="1"/>
    </xf>
    <xf numFmtId="4" fontId="15" fillId="0" borderId="8" xfId="0" applyNumberFormat="1" applyFont="1" applyBorder="1" applyAlignment="1" applyProtection="1">
      <alignment vertical="center" wrapText="1"/>
    </xf>
    <xf numFmtId="0" fontId="3" fillId="0" borderId="19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top"/>
    </xf>
    <xf numFmtId="0" fontId="11" fillId="0" borderId="3" xfId="0" applyFont="1" applyBorder="1" applyAlignment="1" applyProtection="1">
      <alignment horizontal="center" vertical="top"/>
    </xf>
    <xf numFmtId="0" fontId="0" fillId="0" borderId="3" xfId="0" applyBorder="1">
      <alignment horizontal="left" vertical="top" wrapText="1"/>
      <protection locked="0"/>
    </xf>
    <xf numFmtId="0" fontId="0" fillId="0" borderId="3" xfId="0" applyBorder="1" applyAlignment="1" applyProtection="1">
      <alignment horizontal="center" vertical="top"/>
    </xf>
    <xf numFmtId="4" fontId="9" fillId="0" borderId="3" xfId="0" applyNumberFormat="1" applyFont="1" applyBorder="1" applyAlignment="1">
      <alignment horizontal="center" vertical="top" wrapText="1"/>
      <protection locked="0"/>
    </xf>
    <xf numFmtId="2" fontId="9" fillId="0" borderId="3" xfId="0" applyNumberFormat="1" applyFont="1" applyBorder="1" applyAlignment="1">
      <alignment horizontal="center" vertical="top"/>
      <protection locked="0"/>
    </xf>
    <xf numFmtId="4" fontId="9" fillId="0" borderId="13" xfId="0" applyNumberFormat="1" applyFont="1" applyBorder="1" applyAlignment="1" applyProtection="1">
      <alignment vertical="top" wrapText="1"/>
    </xf>
    <xf numFmtId="2" fontId="9" fillId="0" borderId="15" xfId="0" applyNumberFormat="1" applyFont="1" applyBorder="1" applyAlignment="1">
      <alignment horizontal="center" vertical="center"/>
      <protection locked="0"/>
    </xf>
    <xf numFmtId="0" fontId="27" fillId="0" borderId="15" xfId="0" applyFont="1" applyBorder="1" applyAlignment="1">
      <alignment vertical="center"/>
      <protection locked="0"/>
    </xf>
    <xf numFmtId="0" fontId="28" fillId="0" borderId="0" xfId="0" applyFont="1" applyAlignment="1" applyProtection="1">
      <alignment horizontal="center" vertical="top" wrapText="1"/>
    </xf>
    <xf numFmtId="0" fontId="16" fillId="0" borderId="20" xfId="0" applyFont="1" applyBorder="1" applyAlignment="1">
      <alignment vertical="center" wrapText="1"/>
      <protection locked="0"/>
    </xf>
    <xf numFmtId="0" fontId="29" fillId="0" borderId="21" xfId="0" applyFont="1" applyBorder="1" applyAlignment="1" applyProtection="1">
      <alignment vertical="center" wrapText="1"/>
    </xf>
    <xf numFmtId="164" fontId="9" fillId="0" borderId="22" xfId="0" applyNumberFormat="1" applyFont="1" applyBorder="1" applyAlignment="1">
      <alignment horizontal="center" vertical="center" wrapText="1"/>
      <protection locked="0"/>
    </xf>
    <xf numFmtId="0" fontId="16" fillId="0" borderId="24" xfId="0" applyFont="1" applyBorder="1" applyAlignment="1">
      <alignment vertical="center" wrapText="1"/>
      <protection locked="0"/>
    </xf>
    <xf numFmtId="0" fontId="29" fillId="0" borderId="25" xfId="0" applyFont="1" applyBorder="1" applyAlignment="1" applyProtection="1">
      <alignment vertical="center" wrapText="1"/>
    </xf>
    <xf numFmtId="164" fontId="9" fillId="0" borderId="26" xfId="0" applyNumberFormat="1" applyFont="1" applyBorder="1" applyAlignment="1">
      <alignment horizontal="center" vertical="center" wrapText="1"/>
      <protection locked="0"/>
    </xf>
    <xf numFmtId="0" fontId="16" fillId="0" borderId="28" xfId="0" applyFont="1" applyBorder="1" applyAlignment="1">
      <alignment vertical="center" wrapText="1"/>
      <protection locked="0"/>
    </xf>
    <xf numFmtId="0" fontId="29" fillId="0" borderId="29" xfId="0" applyFont="1" applyBorder="1" applyAlignment="1" applyProtection="1">
      <alignment vertical="center" wrapText="1"/>
    </xf>
    <xf numFmtId="164" fontId="9" fillId="0" borderId="30" xfId="0" applyNumberFormat="1" applyFont="1" applyBorder="1" applyAlignment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16" fillId="0" borderId="0" xfId="0" applyFont="1" applyAlignment="1">
      <alignment vertical="center" wrapText="1"/>
      <protection locked="0"/>
    </xf>
    <xf numFmtId="0" fontId="29" fillId="0" borderId="0" xfId="0" applyFont="1" applyAlignment="1" applyProtection="1">
      <alignment vertical="center" wrapText="1"/>
    </xf>
    <xf numFmtId="164" fontId="9" fillId="0" borderId="0" xfId="0" applyNumberFormat="1" applyFont="1" applyAlignment="1">
      <alignment horizontal="center" vertical="center" wrapText="1"/>
      <protection locked="0"/>
    </xf>
    <xf numFmtId="4" fontId="15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top"/>
    </xf>
    <xf numFmtId="0" fontId="28" fillId="0" borderId="0" xfId="0" applyFont="1" applyAlignment="1">
      <alignment vertical="top" wrapText="1"/>
      <protection locked="0"/>
    </xf>
    <xf numFmtId="0" fontId="31" fillId="0" borderId="0" xfId="0" applyFont="1" applyAlignment="1" applyProtection="1">
      <alignment vertical="top" wrapText="1"/>
    </xf>
    <xf numFmtId="164" fontId="31" fillId="0" borderId="0" xfId="0" applyNumberFormat="1" applyFont="1" applyAlignment="1">
      <alignment vertical="top" wrapText="1"/>
      <protection locked="0"/>
    </xf>
    <xf numFmtId="0" fontId="28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>
      <alignment vertical="top" wrapText="1"/>
      <protection locked="0"/>
    </xf>
    <xf numFmtId="0" fontId="2" fillId="0" borderId="0" xfId="0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  <protection locked="0"/>
    </xf>
    <xf numFmtId="2" fontId="32" fillId="0" borderId="0" xfId="0" applyNumberFormat="1" applyFont="1" applyAlignment="1" applyProtection="1">
      <alignment vertical="top" wrapText="1"/>
    </xf>
    <xf numFmtId="164" fontId="1" fillId="0" borderId="0" xfId="0" applyNumberFormat="1" applyFont="1" applyAlignment="1">
      <alignment vertical="top" wrapText="1"/>
      <protection locked="0"/>
    </xf>
    <xf numFmtId="0" fontId="3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0" fontId="9" fillId="0" borderId="32" xfId="0" applyFont="1" applyBorder="1" applyAlignment="1" applyProtection="1">
      <alignment horizontal="center" vertical="top"/>
    </xf>
    <xf numFmtId="0" fontId="11" fillId="0" borderId="33" xfId="0" applyFont="1" applyBorder="1" applyAlignment="1" applyProtection="1">
      <alignment horizontal="center" vertical="top"/>
    </xf>
    <xf numFmtId="0" fontId="0" fillId="0" borderId="33" xfId="0" applyBorder="1">
      <alignment horizontal="left" vertical="top" wrapText="1"/>
      <protection locked="0"/>
    </xf>
    <xf numFmtId="0" fontId="0" fillId="0" borderId="33" xfId="0" applyBorder="1" applyAlignment="1" applyProtection="1">
      <alignment horizontal="center" vertical="top"/>
    </xf>
    <xf numFmtId="4" fontId="9" fillId="0" borderId="33" xfId="0" applyNumberFormat="1" applyFont="1" applyBorder="1" applyAlignment="1">
      <alignment horizontal="center" vertical="top" wrapText="1"/>
      <protection locked="0"/>
    </xf>
    <xf numFmtId="2" fontId="9" fillId="0" borderId="33" xfId="0" applyNumberFormat="1" applyFont="1" applyBorder="1" applyAlignment="1">
      <alignment horizontal="center" vertical="top"/>
      <protection locked="0"/>
    </xf>
    <xf numFmtId="4" fontId="9" fillId="0" borderId="34" xfId="0" applyNumberFormat="1" applyFont="1" applyBorder="1" applyAlignment="1" applyProtection="1">
      <alignment vertical="top" wrapText="1"/>
    </xf>
    <xf numFmtId="0" fontId="5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>
      <alignment horizontal="left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8" fillId="0" borderId="7" xfId="0" applyFont="1" applyBorder="1" applyAlignment="1">
      <alignment horizontal="right" vertical="center" wrapText="1"/>
      <protection locked="0"/>
    </xf>
    <xf numFmtId="2" fontId="9" fillId="0" borderId="7" xfId="0" applyNumberFormat="1" applyFont="1" applyBorder="1" applyAlignment="1">
      <alignment horizontal="center" vertical="center"/>
      <protection locked="0"/>
    </xf>
    <xf numFmtId="4" fontId="10" fillId="0" borderId="8" xfId="0" applyNumberFormat="1" applyFont="1" applyBorder="1" applyAlignment="1" applyProtection="1">
      <alignment vertical="center" wrapText="1"/>
    </xf>
    <xf numFmtId="0" fontId="9" fillId="0" borderId="7" xfId="0" applyFont="1" applyBorder="1" applyAlignment="1">
      <alignment horizontal="right" vertical="center" wrapText="1"/>
      <protection locked="0"/>
    </xf>
    <xf numFmtId="4" fontId="30" fillId="0" borderId="23" xfId="0" applyNumberFormat="1" applyFont="1" applyBorder="1" applyAlignment="1" applyProtection="1">
      <alignment vertical="center" wrapText="1"/>
    </xf>
    <xf numFmtId="4" fontId="30" fillId="0" borderId="27" xfId="0" applyNumberFormat="1" applyFont="1" applyBorder="1" applyAlignment="1" applyProtection="1">
      <alignment vertical="center" wrapText="1"/>
    </xf>
    <xf numFmtId="4" fontId="30" fillId="0" borderId="31" xfId="0" applyNumberFormat="1" applyFont="1" applyBorder="1" applyAlignment="1" applyProtection="1">
      <alignment vertical="center" wrapText="1"/>
    </xf>
    <xf numFmtId="0" fontId="15" fillId="0" borderId="15" xfId="0" applyFont="1" applyBorder="1" applyAlignment="1">
      <alignment vertical="center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41040</xdr:colOff>
      <xdr:row>0</xdr:row>
      <xdr:rowOff>9360</xdr:rowOff>
    </xdr:from>
    <xdr:to>
      <xdr:col>6</xdr:col>
      <xdr:colOff>305280</xdr:colOff>
      <xdr:row>1</xdr:row>
      <xdr:rowOff>147600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5280" y="9360"/>
          <a:ext cx="6024960" cy="300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0" algn="l"/>
            </a:tabLst>
          </a:pPr>
          <a:r>
            <a:rPr lang="pl-PL" sz="1400" b="1" strike="noStrike" spc="-1">
              <a:solidFill>
                <a:srgbClr val="000000"/>
              </a:solidFill>
              <a:latin typeface="Arial CE"/>
            </a:rPr>
            <a:t>KOSZTORYS   OFERTOWY</a:t>
          </a:r>
          <a:endParaRPr lang="pl-PL" sz="14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endParaRPr lang="pl-PL" sz="14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57600</xdr:colOff>
      <xdr:row>2</xdr:row>
      <xdr:rowOff>4320</xdr:rowOff>
    </xdr:from>
    <xdr:to>
      <xdr:col>6</xdr:col>
      <xdr:colOff>350280</xdr:colOff>
      <xdr:row>3</xdr:row>
      <xdr:rowOff>147600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1840" y="328320"/>
          <a:ext cx="6053400" cy="3049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Przebudowa i budowa drogi na osiedlu PKP </a:t>
          </a:r>
          <a:endParaRPr lang="pl-PL" sz="12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oraz przebudowa ulicy Kolejowej w Starych Oborzyskach</a:t>
          </a:r>
          <a:endParaRPr lang="pl-PL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4:G289"/>
  <sheetViews>
    <sheetView tabSelected="1" topLeftCell="A85" zoomScale="110" zoomScaleNormal="110" workbookViewId="0">
      <selection activeCell="E98" sqref="E98"/>
    </sheetView>
  </sheetViews>
  <sheetFormatPr defaultColWidth="9.6640625" defaultRowHeight="12.75" x14ac:dyDescent="0.2"/>
  <cols>
    <col min="1" max="1" width="4.1640625" style="2" customWidth="1"/>
    <col min="2" max="2" width="8.1640625" style="3" customWidth="1"/>
    <col min="3" max="3" width="59.1640625" style="4" customWidth="1"/>
    <col min="4" max="4" width="4.1640625" style="3" customWidth="1"/>
    <col min="5" max="5" width="9.1640625" style="4" customWidth="1"/>
    <col min="6" max="6" width="10" style="5" customWidth="1"/>
    <col min="7" max="7" width="11.1640625" style="3" customWidth="1"/>
    <col min="16187" max="16384" width="12.83203125" customWidth="1"/>
  </cols>
  <sheetData>
    <row r="4" spans="1:7" ht="25.15" customHeight="1" x14ac:dyDescent="0.2"/>
    <row r="5" spans="1:7" ht="3.75" customHeight="1" x14ac:dyDescent="0.2"/>
    <row r="6" spans="1:7" ht="12.75" customHeight="1" x14ac:dyDescent="0.2">
      <c r="A6" s="129" t="s">
        <v>0</v>
      </c>
      <c r="B6" s="130" t="s">
        <v>1</v>
      </c>
      <c r="C6" s="131" t="s">
        <v>2</v>
      </c>
      <c r="D6" s="132" t="s">
        <v>3</v>
      </c>
      <c r="E6" s="132"/>
      <c r="F6" s="133" t="s">
        <v>4</v>
      </c>
      <c r="G6" s="127" t="s">
        <v>5</v>
      </c>
    </row>
    <row r="7" spans="1:7" x14ac:dyDescent="0.2">
      <c r="A7" s="129"/>
      <c r="B7" s="130"/>
      <c r="C7" s="131"/>
      <c r="D7" s="6" t="s">
        <v>6</v>
      </c>
      <c r="E7" s="7" t="s">
        <v>7</v>
      </c>
      <c r="F7" s="133"/>
      <c r="G7" s="127"/>
    </row>
    <row r="8" spans="1:7" x14ac:dyDescent="0.2">
      <c r="A8" s="8">
        <v>1</v>
      </c>
      <c r="B8" s="9">
        <v>2</v>
      </c>
      <c r="C8" s="10">
        <v>3</v>
      </c>
      <c r="D8" s="9">
        <v>4</v>
      </c>
      <c r="E8" s="10">
        <v>5</v>
      </c>
      <c r="F8" s="11">
        <v>6</v>
      </c>
      <c r="G8" s="12">
        <v>7</v>
      </c>
    </row>
    <row r="9" spans="1:7" ht="15.75" thickBot="1" x14ac:dyDescent="0.25">
      <c r="A9" s="13"/>
      <c r="B9" s="14"/>
      <c r="C9" s="15" t="s">
        <v>8</v>
      </c>
      <c r="D9" s="128"/>
      <c r="E9" s="128"/>
      <c r="F9" s="128"/>
      <c r="G9" s="128"/>
    </row>
    <row r="10" spans="1:7" ht="16.5" thickBot="1" x14ac:dyDescent="0.25">
      <c r="A10" s="115" t="s">
        <v>9</v>
      </c>
      <c r="B10" s="116"/>
      <c r="C10" s="117" t="s">
        <v>10</v>
      </c>
      <c r="D10" s="118"/>
      <c r="E10" s="119"/>
      <c r="F10" s="120"/>
      <c r="G10" s="121">
        <f>G11+G12+G13+G14+G15+G16+G17+G18+G19+G20+G21+G22+G23+G24+G25+G26</f>
        <v>0</v>
      </c>
    </row>
    <row r="11" spans="1:7" x14ac:dyDescent="0.2">
      <c r="A11" s="108">
        <v>1</v>
      </c>
      <c r="B11" s="109" t="s">
        <v>11</v>
      </c>
      <c r="C11" s="110" t="s">
        <v>12</v>
      </c>
      <c r="D11" s="111" t="s">
        <v>13</v>
      </c>
      <c r="E11" s="112">
        <v>0.27</v>
      </c>
      <c r="F11" s="113"/>
      <c r="G11" s="114">
        <f t="shared" ref="G11:G26" si="0">ROUND(E11*F11,2)</f>
        <v>0</v>
      </c>
    </row>
    <row r="12" spans="1:7" ht="15.75" x14ac:dyDescent="0.2">
      <c r="A12" s="16">
        <f t="shared" ref="A12:A26" si="1">A11+1</f>
        <v>2</v>
      </c>
      <c r="B12" s="22" t="s">
        <v>14</v>
      </c>
      <c r="C12" s="18" t="s">
        <v>15</v>
      </c>
      <c r="D12" s="23" t="s">
        <v>16</v>
      </c>
      <c r="E12" s="24">
        <f>CEILING(41.87,0.1)</f>
        <v>41.900000000000006</v>
      </c>
      <c r="F12" s="20"/>
      <c r="G12" s="21">
        <f t="shared" si="0"/>
        <v>0</v>
      </c>
    </row>
    <row r="13" spans="1:7" ht="25.5" x14ac:dyDescent="0.2">
      <c r="A13" s="16">
        <f t="shared" si="1"/>
        <v>3</v>
      </c>
      <c r="B13" s="17" t="s">
        <v>14</v>
      </c>
      <c r="C13" s="18" t="s">
        <v>17</v>
      </c>
      <c r="D13" s="23" t="s">
        <v>16</v>
      </c>
      <c r="E13" s="24">
        <f>CEILING(22.56,0.1)</f>
        <v>22.6</v>
      </c>
      <c r="F13" s="20"/>
      <c r="G13" s="21">
        <f t="shared" si="0"/>
        <v>0</v>
      </c>
    </row>
    <row r="14" spans="1:7" ht="25.5" x14ac:dyDescent="0.2">
      <c r="A14" s="16">
        <f t="shared" si="1"/>
        <v>4</v>
      </c>
      <c r="B14" s="17" t="s">
        <v>14</v>
      </c>
      <c r="C14" s="18" t="s">
        <v>18</v>
      </c>
      <c r="D14" s="23" t="s">
        <v>16</v>
      </c>
      <c r="E14" s="24">
        <f>E12-E13</f>
        <v>19.300000000000004</v>
      </c>
      <c r="F14" s="20"/>
      <c r="G14" s="21">
        <f t="shared" si="0"/>
        <v>0</v>
      </c>
    </row>
    <row r="15" spans="1:7" ht="38.25" x14ac:dyDescent="0.2">
      <c r="A15" s="16">
        <f t="shared" si="1"/>
        <v>5</v>
      </c>
      <c r="B15" s="17" t="s">
        <v>19</v>
      </c>
      <c r="C15" s="18" t="s">
        <v>20</v>
      </c>
      <c r="D15" s="19" t="s">
        <v>21</v>
      </c>
      <c r="E15" s="24">
        <f>CEILING(141.4*0.04,0.1)</f>
        <v>5.7</v>
      </c>
      <c r="F15" s="20"/>
      <c r="G15" s="21">
        <f t="shared" si="0"/>
        <v>0</v>
      </c>
    </row>
    <row r="16" spans="1:7" ht="38.25" x14ac:dyDescent="0.2">
      <c r="A16" s="16">
        <f t="shared" si="1"/>
        <v>6</v>
      </c>
      <c r="B16" s="17" t="s">
        <v>19</v>
      </c>
      <c r="C16" s="18" t="s">
        <v>22</v>
      </c>
      <c r="D16" s="19" t="s">
        <v>21</v>
      </c>
      <c r="E16" s="24">
        <f>CEILING(126.5*0.2,0.1)</f>
        <v>25.3</v>
      </c>
      <c r="F16" s="20"/>
      <c r="G16" s="21">
        <f t="shared" si="0"/>
        <v>0</v>
      </c>
    </row>
    <row r="17" spans="1:7" ht="38.25" x14ac:dyDescent="0.2">
      <c r="A17" s="16">
        <f t="shared" si="1"/>
        <v>7</v>
      </c>
      <c r="B17" s="17" t="s">
        <v>23</v>
      </c>
      <c r="C17" s="18" t="s">
        <v>24</v>
      </c>
      <c r="D17" s="19" t="s">
        <v>25</v>
      </c>
      <c r="E17" s="24">
        <f>CEILING(22+0.4*5+361.2,0.1)</f>
        <v>385.20000000000005</v>
      </c>
      <c r="F17" s="20"/>
      <c r="G17" s="21">
        <f t="shared" si="0"/>
        <v>0</v>
      </c>
    </row>
    <row r="18" spans="1:7" ht="25.5" customHeight="1" x14ac:dyDescent="0.2">
      <c r="A18" s="16">
        <f t="shared" si="1"/>
        <v>8</v>
      </c>
      <c r="B18" s="17" t="s">
        <v>19</v>
      </c>
      <c r="C18" s="18" t="s">
        <v>26</v>
      </c>
      <c r="D18" s="19" t="s">
        <v>21</v>
      </c>
      <c r="E18" s="24">
        <f>CEILING(19.5,0.1)</f>
        <v>19.5</v>
      </c>
      <c r="F18" s="20"/>
      <c r="G18" s="21">
        <f t="shared" si="0"/>
        <v>0</v>
      </c>
    </row>
    <row r="19" spans="1:7" ht="25.5" x14ac:dyDescent="0.2">
      <c r="A19" s="16">
        <f t="shared" si="1"/>
        <v>9</v>
      </c>
      <c r="B19" s="17" t="s">
        <v>19</v>
      </c>
      <c r="C19" s="18" t="s">
        <v>27</v>
      </c>
      <c r="D19" s="19" t="s">
        <v>21</v>
      </c>
      <c r="E19" s="24">
        <f>CEILING(6*5,0.1)</f>
        <v>30</v>
      </c>
      <c r="F19" s="20"/>
      <c r="G19" s="21">
        <f t="shared" si="0"/>
        <v>0</v>
      </c>
    </row>
    <row r="20" spans="1:7" ht="25.5" x14ac:dyDescent="0.2">
      <c r="A20" s="16">
        <f t="shared" si="1"/>
        <v>10</v>
      </c>
      <c r="B20" s="17" t="s">
        <v>19</v>
      </c>
      <c r="C20" s="18" t="s">
        <v>28</v>
      </c>
      <c r="D20" s="19" t="s">
        <v>29</v>
      </c>
      <c r="E20" s="24">
        <f>CEILING(121.5+5,0.1)</f>
        <v>126.5</v>
      </c>
      <c r="F20" s="20"/>
      <c r="G20" s="21">
        <f t="shared" si="0"/>
        <v>0</v>
      </c>
    </row>
    <row r="21" spans="1:7" ht="25.5" x14ac:dyDescent="0.2">
      <c r="A21" s="16">
        <f t="shared" si="1"/>
        <v>11</v>
      </c>
      <c r="B21" s="17" t="s">
        <v>19</v>
      </c>
      <c r="C21" s="18" t="s">
        <v>30</v>
      </c>
      <c r="D21" s="19" t="s">
        <v>29</v>
      </c>
      <c r="E21" s="24">
        <f>CEILING(245,0.1)</f>
        <v>245</v>
      </c>
      <c r="F21" s="20"/>
      <c r="G21" s="21">
        <f t="shared" si="0"/>
        <v>0</v>
      </c>
    </row>
    <row r="22" spans="1:7" ht="25.5" x14ac:dyDescent="0.2">
      <c r="A22" s="16">
        <f t="shared" si="1"/>
        <v>12</v>
      </c>
      <c r="B22" s="17" t="s">
        <v>19</v>
      </c>
      <c r="C22" s="18" t="s">
        <v>31</v>
      </c>
      <c r="D22" s="19" t="s">
        <v>29</v>
      </c>
      <c r="E22" s="24">
        <f>CEILING(121.5+1.5+5,0.1)</f>
        <v>128</v>
      </c>
      <c r="F22" s="20"/>
      <c r="G22" s="21">
        <f t="shared" si="0"/>
        <v>0</v>
      </c>
    </row>
    <row r="23" spans="1:7" ht="25.5" x14ac:dyDescent="0.2">
      <c r="A23" s="16">
        <f t="shared" si="1"/>
        <v>13</v>
      </c>
      <c r="B23" s="17" t="s">
        <v>19</v>
      </c>
      <c r="C23" s="18" t="s">
        <v>32</v>
      </c>
      <c r="D23" s="19" t="s">
        <v>21</v>
      </c>
      <c r="E23" s="24">
        <f>CEILING(121.5*1.5+5*1.5,0.1)</f>
        <v>189.8</v>
      </c>
      <c r="F23" s="20"/>
      <c r="G23" s="21">
        <f t="shared" si="0"/>
        <v>0</v>
      </c>
    </row>
    <row r="24" spans="1:7" ht="25.5" x14ac:dyDescent="0.2">
      <c r="A24" s="16">
        <f t="shared" si="1"/>
        <v>14</v>
      </c>
      <c r="B24" s="17" t="s">
        <v>19</v>
      </c>
      <c r="C24" s="18" t="s">
        <v>33</v>
      </c>
      <c r="D24" s="19" t="s">
        <v>21</v>
      </c>
      <c r="E24" s="24">
        <f>CEILING(245*1.5,0.1)</f>
        <v>367.5</v>
      </c>
      <c r="F24" s="20"/>
      <c r="G24" s="21">
        <f t="shared" si="0"/>
        <v>0</v>
      </c>
    </row>
    <row r="25" spans="1:7" ht="25.5" x14ac:dyDescent="0.2">
      <c r="A25" s="16">
        <f t="shared" si="1"/>
        <v>15</v>
      </c>
      <c r="B25" s="17" t="s">
        <v>19</v>
      </c>
      <c r="C25" s="18" t="s">
        <v>34</v>
      </c>
      <c r="D25" s="19" t="s">
        <v>35</v>
      </c>
      <c r="E25" s="24">
        <v>12</v>
      </c>
      <c r="F25" s="20"/>
      <c r="G25" s="21">
        <f t="shared" si="0"/>
        <v>0</v>
      </c>
    </row>
    <row r="26" spans="1:7" x14ac:dyDescent="0.2">
      <c r="A26" s="16">
        <f t="shared" si="1"/>
        <v>16</v>
      </c>
      <c r="B26" s="17" t="s">
        <v>36</v>
      </c>
      <c r="C26" s="25" t="s">
        <v>37</v>
      </c>
      <c r="D26" s="23" t="s">
        <v>35</v>
      </c>
      <c r="E26" s="24">
        <v>2</v>
      </c>
      <c r="F26" s="20"/>
      <c r="G26" s="21">
        <f t="shared" si="0"/>
        <v>0</v>
      </c>
    </row>
    <row r="27" spans="1:7" ht="15.75" x14ac:dyDescent="0.2">
      <c r="A27" s="26" t="s">
        <v>38</v>
      </c>
      <c r="B27" s="27"/>
      <c r="C27" s="28" t="s">
        <v>39</v>
      </c>
      <c r="D27" s="29"/>
      <c r="E27" s="30"/>
      <c r="F27" s="31"/>
      <c r="G27" s="21"/>
    </row>
    <row r="28" spans="1:7" ht="25.5" x14ac:dyDescent="0.2">
      <c r="A28" s="32">
        <f>A26+1</f>
        <v>17</v>
      </c>
      <c r="B28" s="33" t="s">
        <v>40</v>
      </c>
      <c r="C28" s="34" t="s">
        <v>41</v>
      </c>
      <c r="D28" s="35" t="s">
        <v>42</v>
      </c>
      <c r="E28" s="24">
        <f>CEILING(23.44,0.1)</f>
        <v>23.5</v>
      </c>
      <c r="F28" s="20"/>
      <c r="G28" s="21">
        <f t="shared" ref="G28:G34" si="2">ROUND(E28*F28,2)</f>
        <v>0</v>
      </c>
    </row>
    <row r="29" spans="1:7" ht="25.5" x14ac:dyDescent="0.2">
      <c r="A29" s="32">
        <f t="shared" ref="A29:A34" si="3">A28+1</f>
        <v>18</v>
      </c>
      <c r="B29" s="33" t="s">
        <v>40</v>
      </c>
      <c r="C29" s="34" t="s">
        <v>43</v>
      </c>
      <c r="D29" s="35" t="s">
        <v>42</v>
      </c>
      <c r="E29" s="36">
        <f>CEILING(43.24-23.44,0.1)</f>
        <v>19.8</v>
      </c>
      <c r="F29" s="20"/>
      <c r="G29" s="21">
        <f t="shared" si="2"/>
        <v>0</v>
      </c>
    </row>
    <row r="30" spans="1:7" ht="25.5" x14ac:dyDescent="0.2">
      <c r="A30" s="32">
        <f t="shared" si="3"/>
        <v>19</v>
      </c>
      <c r="B30" s="37" t="s">
        <v>44</v>
      </c>
      <c r="C30" s="25" t="s">
        <v>45</v>
      </c>
      <c r="D30" s="38" t="s">
        <v>16</v>
      </c>
      <c r="E30" s="24">
        <f>CEILING(E28+E29,0.1)</f>
        <v>43.300000000000004</v>
      </c>
      <c r="F30" s="20"/>
      <c r="G30" s="21">
        <f t="shared" si="2"/>
        <v>0</v>
      </c>
    </row>
    <row r="31" spans="1:7" ht="25.5" x14ac:dyDescent="0.2">
      <c r="A31" s="32">
        <f t="shared" si="3"/>
        <v>20</v>
      </c>
      <c r="B31" s="37" t="s">
        <v>40</v>
      </c>
      <c r="C31" s="34" t="s">
        <v>46</v>
      </c>
      <c r="D31" s="38" t="s">
        <v>16</v>
      </c>
      <c r="E31" s="24">
        <f>CEILING(117.62-43.24,0.1)</f>
        <v>74.400000000000006</v>
      </c>
      <c r="F31" s="20"/>
      <c r="G31" s="21">
        <f t="shared" si="2"/>
        <v>0</v>
      </c>
    </row>
    <row r="32" spans="1:7" ht="25.5" x14ac:dyDescent="0.2">
      <c r="A32" s="32">
        <f t="shared" si="3"/>
        <v>21</v>
      </c>
      <c r="B32" s="37" t="s">
        <v>40</v>
      </c>
      <c r="C32" s="34" t="s">
        <v>47</v>
      </c>
      <c r="D32" s="38" t="s">
        <v>16</v>
      </c>
      <c r="E32" s="24">
        <f>CEILING(9.88,0.1)</f>
        <v>9.9</v>
      </c>
      <c r="F32" s="20"/>
      <c r="G32" s="21">
        <f t="shared" si="2"/>
        <v>0</v>
      </c>
    </row>
    <row r="33" spans="1:7" ht="38.25" x14ac:dyDescent="0.2">
      <c r="A33" s="32">
        <f t="shared" si="3"/>
        <v>22</v>
      </c>
      <c r="B33" s="37" t="s">
        <v>44</v>
      </c>
      <c r="C33" s="25" t="s">
        <v>48</v>
      </c>
      <c r="D33" s="38" t="s">
        <v>49</v>
      </c>
      <c r="E33" s="24">
        <f>CEILING(98*2.5,0.1)</f>
        <v>245</v>
      </c>
      <c r="F33" s="20"/>
      <c r="G33" s="21">
        <f t="shared" si="2"/>
        <v>0</v>
      </c>
    </row>
    <row r="34" spans="1:7" ht="25.5" customHeight="1" x14ac:dyDescent="0.2">
      <c r="A34" s="32">
        <f t="shared" si="3"/>
        <v>23</v>
      </c>
      <c r="B34" s="37" t="s">
        <v>50</v>
      </c>
      <c r="C34" s="25" t="s">
        <v>51</v>
      </c>
      <c r="D34" s="38" t="s">
        <v>49</v>
      </c>
      <c r="E34" s="24">
        <f>CEILING(E13/0.05,0.1)</f>
        <v>452</v>
      </c>
      <c r="F34" s="20"/>
      <c r="G34" s="21">
        <f t="shared" si="2"/>
        <v>0</v>
      </c>
    </row>
    <row r="35" spans="1:7" x14ac:dyDescent="0.2">
      <c r="A35" s="39" t="s">
        <v>52</v>
      </c>
      <c r="B35" s="40"/>
      <c r="C35" s="41" t="s">
        <v>53</v>
      </c>
      <c r="D35" s="38"/>
      <c r="E35" s="24"/>
      <c r="F35" s="42"/>
      <c r="G35" s="21"/>
    </row>
    <row r="36" spans="1:7" ht="15.75" x14ac:dyDescent="0.2">
      <c r="A36" s="39" t="s">
        <v>54</v>
      </c>
      <c r="B36" s="40"/>
      <c r="C36" s="41" t="s">
        <v>55</v>
      </c>
      <c r="D36" s="29"/>
      <c r="E36" s="43"/>
      <c r="F36" s="42"/>
      <c r="G36" s="44"/>
    </row>
    <row r="37" spans="1:7" ht="38.25" x14ac:dyDescent="0.2">
      <c r="A37" s="32">
        <f>A34+1</f>
        <v>24</v>
      </c>
      <c r="B37" s="37" t="s">
        <v>56</v>
      </c>
      <c r="C37" s="25" t="s">
        <v>57</v>
      </c>
      <c r="D37" s="38" t="s">
        <v>49</v>
      </c>
      <c r="E37" s="24">
        <f>CEILING(E43+E44+E45+E46+E47+361.2,0.1)</f>
        <v>1249.4000000000001</v>
      </c>
      <c r="F37" s="20"/>
      <c r="G37" s="21">
        <f t="shared" ref="G37:G49" si="4">ROUND(E37*F37,2)</f>
        <v>0</v>
      </c>
    </row>
    <row r="38" spans="1:7" ht="15.75" x14ac:dyDescent="0.2">
      <c r="A38" s="32">
        <f t="shared" ref="A38:A49" si="5">A37+1</f>
        <v>25</v>
      </c>
      <c r="B38" s="37" t="s">
        <v>58</v>
      </c>
      <c r="C38" s="25" t="s">
        <v>59</v>
      </c>
      <c r="D38" s="38" t="s">
        <v>49</v>
      </c>
      <c r="E38" s="24">
        <f>CEILING(E39+E40,0.1)</f>
        <v>2788.8</v>
      </c>
      <c r="F38" s="20"/>
      <c r="G38" s="21">
        <f t="shared" si="4"/>
        <v>0</v>
      </c>
    </row>
    <row r="39" spans="1:7" ht="38.25" x14ac:dyDescent="0.2">
      <c r="A39" s="32">
        <f t="shared" si="5"/>
        <v>26</v>
      </c>
      <c r="B39" s="37" t="s">
        <v>58</v>
      </c>
      <c r="C39" s="25" t="s">
        <v>60</v>
      </c>
      <c r="D39" s="38" t="s">
        <v>49</v>
      </c>
      <c r="E39" s="24">
        <f>CEILING(E51+E48/0.025,0.1)</f>
        <v>2307.4</v>
      </c>
      <c r="F39" s="20"/>
      <c r="G39" s="21">
        <f t="shared" si="4"/>
        <v>0</v>
      </c>
    </row>
    <row r="40" spans="1:7" ht="38.25" x14ac:dyDescent="0.2">
      <c r="A40" s="32">
        <f t="shared" si="5"/>
        <v>27</v>
      </c>
      <c r="B40" s="37" t="s">
        <v>58</v>
      </c>
      <c r="C40" s="25" t="s">
        <v>61</v>
      </c>
      <c r="D40" s="38" t="s">
        <v>49</v>
      </c>
      <c r="E40" s="24">
        <f>CEILING(E49,0.1)</f>
        <v>481.40000000000003</v>
      </c>
      <c r="F40" s="20"/>
      <c r="G40" s="21">
        <f t="shared" si="4"/>
        <v>0</v>
      </c>
    </row>
    <row r="41" spans="1:7" ht="38.25" x14ac:dyDescent="0.2">
      <c r="A41" s="32">
        <f t="shared" si="5"/>
        <v>28</v>
      </c>
      <c r="B41" s="37" t="s">
        <v>62</v>
      </c>
      <c r="C41" s="25" t="s">
        <v>63</v>
      </c>
      <c r="D41" s="38" t="s">
        <v>49</v>
      </c>
      <c r="E41" s="24">
        <f>CEILING(141.37+361.2,0.1)</f>
        <v>502.6</v>
      </c>
      <c r="F41" s="20"/>
      <c r="G41" s="21">
        <f t="shared" si="4"/>
        <v>0</v>
      </c>
    </row>
    <row r="42" spans="1:7" ht="25.5" x14ac:dyDescent="0.2">
      <c r="A42" s="32">
        <f t="shared" si="5"/>
        <v>29</v>
      </c>
      <c r="B42" s="37" t="s">
        <v>62</v>
      </c>
      <c r="C42" s="25" t="s">
        <v>64</v>
      </c>
      <c r="D42" s="38" t="s">
        <v>49</v>
      </c>
      <c r="E42" s="24">
        <f>CEILING(23.04,0.1)</f>
        <v>23.1</v>
      </c>
      <c r="F42" s="20"/>
      <c r="G42" s="21">
        <f t="shared" si="4"/>
        <v>0</v>
      </c>
    </row>
    <row r="43" spans="1:7" ht="25.5" x14ac:dyDescent="0.2">
      <c r="A43" s="32">
        <f t="shared" si="5"/>
        <v>30</v>
      </c>
      <c r="B43" s="37" t="s">
        <v>65</v>
      </c>
      <c r="C43" s="25" t="s">
        <v>66</v>
      </c>
      <c r="D43" s="38" t="s">
        <v>49</v>
      </c>
      <c r="E43" s="24">
        <f>CEILING(155.83+6.4*5+361.2,0.1)</f>
        <v>549.1</v>
      </c>
      <c r="F43" s="20"/>
      <c r="G43" s="21">
        <f t="shared" si="4"/>
        <v>0</v>
      </c>
    </row>
    <row r="44" spans="1:7" ht="25.5" x14ac:dyDescent="0.2">
      <c r="A44" s="32">
        <f t="shared" si="5"/>
        <v>31</v>
      </c>
      <c r="B44" s="37" t="s">
        <v>65</v>
      </c>
      <c r="C44" s="25" t="s">
        <v>67</v>
      </c>
      <c r="D44" s="38" t="s">
        <v>49</v>
      </c>
      <c r="E44" s="24">
        <f>CEILING(22.79,0.1)</f>
        <v>22.8</v>
      </c>
      <c r="F44" s="20"/>
      <c r="G44" s="21">
        <f t="shared" si="4"/>
        <v>0</v>
      </c>
    </row>
    <row r="45" spans="1:7" ht="25.5" x14ac:dyDescent="0.2">
      <c r="A45" s="32">
        <f t="shared" si="5"/>
        <v>32</v>
      </c>
      <c r="B45" s="37" t="s">
        <v>65</v>
      </c>
      <c r="C45" s="25" t="s">
        <v>68</v>
      </c>
      <c r="D45" s="38" t="s">
        <v>49</v>
      </c>
      <c r="E45" s="24">
        <f>CEILING(4.65,0.1)</f>
        <v>4.7</v>
      </c>
      <c r="F45" s="20"/>
      <c r="G45" s="21">
        <f t="shared" si="4"/>
        <v>0</v>
      </c>
    </row>
    <row r="46" spans="1:7" ht="25.5" x14ac:dyDescent="0.2">
      <c r="A46" s="32">
        <f t="shared" si="5"/>
        <v>33</v>
      </c>
      <c r="B46" s="37" t="s">
        <v>69</v>
      </c>
      <c r="C46" s="25" t="s">
        <v>70</v>
      </c>
      <c r="D46" s="38" t="s">
        <v>49</v>
      </c>
      <c r="E46" s="24">
        <f>CEILING((60.3+54.4)*2.35+5*2,0.1)</f>
        <v>279.60000000000002</v>
      </c>
      <c r="F46" s="20"/>
      <c r="G46" s="21">
        <f t="shared" si="4"/>
        <v>0</v>
      </c>
    </row>
    <row r="47" spans="1:7" ht="25.5" x14ac:dyDescent="0.2">
      <c r="A47" s="32">
        <f t="shared" si="5"/>
        <v>34</v>
      </c>
      <c r="B47" s="37" t="s">
        <v>69</v>
      </c>
      <c r="C47" s="25" t="s">
        <v>71</v>
      </c>
      <c r="D47" s="38" t="s">
        <v>49</v>
      </c>
      <c r="E47" s="24">
        <f>CEILING(6.4*5,0.1)</f>
        <v>32</v>
      </c>
      <c r="F47" s="20"/>
      <c r="G47" s="21">
        <f t="shared" si="4"/>
        <v>0</v>
      </c>
    </row>
    <row r="48" spans="1:7" ht="25.5" x14ac:dyDescent="0.2">
      <c r="A48" s="32">
        <f t="shared" si="5"/>
        <v>35</v>
      </c>
      <c r="B48" s="37" t="s">
        <v>72</v>
      </c>
      <c r="C48" s="45" t="s">
        <v>73</v>
      </c>
      <c r="D48" s="38" t="s">
        <v>16</v>
      </c>
      <c r="E48" s="24">
        <f>CEILING(23.66*1.1,0.1)</f>
        <v>26.1</v>
      </c>
      <c r="F48" s="46"/>
      <c r="G48" s="21">
        <f t="shared" si="4"/>
        <v>0</v>
      </c>
    </row>
    <row r="49" spans="1:7" ht="25.5" x14ac:dyDescent="0.2">
      <c r="A49" s="32">
        <f t="shared" si="5"/>
        <v>36</v>
      </c>
      <c r="B49" s="37" t="s">
        <v>74</v>
      </c>
      <c r="C49" s="45" t="s">
        <v>75</v>
      </c>
      <c r="D49" s="38" t="s">
        <v>49</v>
      </c>
      <c r="E49" s="24">
        <f>CEILING(120.16+361.2,0.1)</f>
        <v>481.40000000000003</v>
      </c>
      <c r="F49" s="46"/>
      <c r="G49" s="21">
        <f t="shared" si="4"/>
        <v>0</v>
      </c>
    </row>
    <row r="50" spans="1:7" ht="15.75" x14ac:dyDescent="0.2">
      <c r="A50" s="39" t="s">
        <v>76</v>
      </c>
      <c r="B50" s="47"/>
      <c r="C50" s="28" t="s">
        <v>77</v>
      </c>
      <c r="D50" s="29"/>
      <c r="E50" s="30"/>
      <c r="F50" s="48"/>
      <c r="G50" s="44"/>
    </row>
    <row r="51" spans="1:7" ht="25.5" x14ac:dyDescent="0.2">
      <c r="A51" s="32">
        <f>A49+1</f>
        <v>37</v>
      </c>
      <c r="B51" s="37" t="s">
        <v>72</v>
      </c>
      <c r="C51" s="49" t="s">
        <v>78</v>
      </c>
      <c r="D51" s="38" t="s">
        <v>49</v>
      </c>
      <c r="E51" s="24">
        <f>CEILING(1319.43-120.29*0.2-6.4*5,0.1)</f>
        <v>1263.4000000000001</v>
      </c>
      <c r="F51" s="46"/>
      <c r="G51" s="21">
        <f t="shared" ref="G51:G57" si="6">ROUND(E51*F51,2)</f>
        <v>0</v>
      </c>
    </row>
    <row r="52" spans="1:7" ht="25.5" x14ac:dyDescent="0.2">
      <c r="A52" s="32">
        <f t="shared" ref="A52:A57" si="7">A51+1</f>
        <v>38</v>
      </c>
      <c r="B52" s="37" t="s">
        <v>72</v>
      </c>
      <c r="C52" s="49" t="s">
        <v>79</v>
      </c>
      <c r="D52" s="38" t="s">
        <v>49</v>
      </c>
      <c r="E52" s="24">
        <f>CEILING(7.8*5,0.1)</f>
        <v>39</v>
      </c>
      <c r="F52" s="46"/>
      <c r="G52" s="21">
        <f t="shared" si="6"/>
        <v>0</v>
      </c>
    </row>
    <row r="53" spans="1:7" x14ac:dyDescent="0.2">
      <c r="A53" s="32">
        <f t="shared" si="7"/>
        <v>39</v>
      </c>
      <c r="B53" s="37" t="s">
        <v>80</v>
      </c>
      <c r="C53" s="49" t="s">
        <v>81</v>
      </c>
      <c r="D53" s="38" t="s">
        <v>25</v>
      </c>
      <c r="E53" s="24">
        <v>0.65</v>
      </c>
      <c r="F53" s="46"/>
      <c r="G53" s="21">
        <f t="shared" si="6"/>
        <v>0</v>
      </c>
    </row>
    <row r="54" spans="1:7" ht="25.5" x14ac:dyDescent="0.2">
      <c r="A54" s="32">
        <f t="shared" si="7"/>
        <v>40</v>
      </c>
      <c r="B54" s="37" t="s">
        <v>80</v>
      </c>
      <c r="C54" s="49" t="s">
        <v>82</v>
      </c>
      <c r="D54" s="38" t="s">
        <v>49</v>
      </c>
      <c r="E54" s="24">
        <f>7.8*5*0.6</f>
        <v>23.4</v>
      </c>
      <c r="F54" s="46"/>
      <c r="G54" s="21">
        <f t="shared" si="6"/>
        <v>0</v>
      </c>
    </row>
    <row r="55" spans="1:7" ht="25.5" x14ac:dyDescent="0.2">
      <c r="A55" s="32">
        <f t="shared" si="7"/>
        <v>41</v>
      </c>
      <c r="B55" s="37" t="s">
        <v>83</v>
      </c>
      <c r="C55" s="49" t="s">
        <v>84</v>
      </c>
      <c r="D55" s="38" t="s">
        <v>49</v>
      </c>
      <c r="E55" s="24">
        <f>CEILING(25.54,0.1)</f>
        <v>25.6</v>
      </c>
      <c r="F55" s="50"/>
      <c r="G55" s="21">
        <f t="shared" si="6"/>
        <v>0</v>
      </c>
    </row>
    <row r="56" spans="1:7" ht="25.5" x14ac:dyDescent="0.2">
      <c r="A56" s="32">
        <f t="shared" si="7"/>
        <v>42</v>
      </c>
      <c r="B56" s="37" t="s">
        <v>83</v>
      </c>
      <c r="C56" s="49" t="s">
        <v>85</v>
      </c>
      <c r="D56" s="38" t="s">
        <v>49</v>
      </c>
      <c r="E56" s="24">
        <f>CEILING(6.4*5,0.1)</f>
        <v>32</v>
      </c>
      <c r="F56" s="50"/>
      <c r="G56" s="21">
        <f t="shared" si="6"/>
        <v>0</v>
      </c>
    </row>
    <row r="57" spans="1:7" ht="38.25" x14ac:dyDescent="0.2">
      <c r="A57" s="32">
        <f t="shared" si="7"/>
        <v>43</v>
      </c>
      <c r="B57" s="37" t="s">
        <v>83</v>
      </c>
      <c r="C57" s="25" t="s">
        <v>86</v>
      </c>
      <c r="D57" s="38" t="s">
        <v>49</v>
      </c>
      <c r="E57" s="24">
        <f>CEILING(16.62,0.1)</f>
        <v>16.7</v>
      </c>
      <c r="F57" s="50"/>
      <c r="G57" s="21">
        <f t="shared" si="6"/>
        <v>0</v>
      </c>
    </row>
    <row r="58" spans="1:7" ht="15.75" x14ac:dyDescent="0.2">
      <c r="A58" s="39" t="s">
        <v>87</v>
      </c>
      <c r="B58" s="51"/>
      <c r="C58" s="28" t="s">
        <v>88</v>
      </c>
      <c r="D58" s="29"/>
      <c r="E58" s="24"/>
      <c r="F58" s="31"/>
      <c r="G58" s="44"/>
    </row>
    <row r="59" spans="1:7" ht="25.5" x14ac:dyDescent="0.2">
      <c r="A59" s="32">
        <f>A57+1</f>
        <v>44</v>
      </c>
      <c r="B59" s="37" t="s">
        <v>89</v>
      </c>
      <c r="C59" s="25" t="s">
        <v>90</v>
      </c>
      <c r="D59" s="38" t="s">
        <v>29</v>
      </c>
      <c r="E59" s="24">
        <f>CEILING(62.04+56.1+5+6.4,0.1)</f>
        <v>129.6</v>
      </c>
      <c r="F59" s="20"/>
      <c r="G59" s="21">
        <f t="shared" ref="G59:G66" si="8">ROUND(E59*F59,2)</f>
        <v>0</v>
      </c>
    </row>
    <row r="60" spans="1:7" ht="25.5" x14ac:dyDescent="0.2">
      <c r="A60" s="32">
        <f t="shared" ref="A60:A66" si="9">A59+1</f>
        <v>45</v>
      </c>
      <c r="B60" s="37" t="s">
        <v>89</v>
      </c>
      <c r="C60" s="25" t="s">
        <v>91</v>
      </c>
      <c r="D60" s="38" t="s">
        <v>29</v>
      </c>
      <c r="E60" s="24">
        <f>CEILING(11+11,0.1)</f>
        <v>22</v>
      </c>
      <c r="F60" s="20"/>
      <c r="G60" s="21">
        <f t="shared" si="8"/>
        <v>0</v>
      </c>
    </row>
    <row r="61" spans="1:7" ht="25.5" x14ac:dyDescent="0.2">
      <c r="A61" s="32">
        <f t="shared" si="9"/>
        <v>46</v>
      </c>
      <c r="B61" s="37" t="s">
        <v>89</v>
      </c>
      <c r="C61" s="25" t="s">
        <v>92</v>
      </c>
      <c r="D61" s="38" t="s">
        <v>29</v>
      </c>
      <c r="E61" s="24">
        <f>CEILING(18.6+5*2,0.1)</f>
        <v>28.6</v>
      </c>
      <c r="F61" s="20"/>
      <c r="G61" s="21">
        <f t="shared" si="8"/>
        <v>0</v>
      </c>
    </row>
    <row r="62" spans="1:7" ht="25.5" x14ac:dyDescent="0.2">
      <c r="A62" s="32">
        <f t="shared" si="9"/>
        <v>47</v>
      </c>
      <c r="B62" s="37" t="s">
        <v>93</v>
      </c>
      <c r="C62" s="25" t="s">
        <v>94</v>
      </c>
      <c r="D62" s="38" t="s">
        <v>29</v>
      </c>
      <c r="E62" s="24">
        <f>CEILING(60.6+2+54.87+5+6,0.1)</f>
        <v>128.5</v>
      </c>
      <c r="F62" s="20"/>
      <c r="G62" s="21">
        <f t="shared" si="8"/>
        <v>0</v>
      </c>
    </row>
    <row r="63" spans="1:7" ht="25.5" x14ac:dyDescent="0.2">
      <c r="A63" s="32">
        <f t="shared" si="9"/>
        <v>48</v>
      </c>
      <c r="B63" s="37" t="s">
        <v>93</v>
      </c>
      <c r="C63" s="25" t="s">
        <v>95</v>
      </c>
      <c r="D63" s="38" t="s">
        <v>29</v>
      </c>
      <c r="E63" s="24">
        <f>CEILING(245,0.1)</f>
        <v>245</v>
      </c>
      <c r="F63" s="20"/>
      <c r="G63" s="21">
        <f t="shared" si="8"/>
        <v>0</v>
      </c>
    </row>
    <row r="64" spans="1:7" ht="25.5" x14ac:dyDescent="0.2">
      <c r="A64" s="32">
        <f t="shared" si="9"/>
        <v>49</v>
      </c>
      <c r="B64" s="37" t="s">
        <v>96</v>
      </c>
      <c r="C64" s="25" t="s">
        <v>97</v>
      </c>
      <c r="D64" s="38" t="s">
        <v>49</v>
      </c>
      <c r="E64" s="24">
        <f>CEILING((60.3+54.4)*2.5+5*2+9.4,0.1)</f>
        <v>306.2</v>
      </c>
      <c r="F64" s="20"/>
      <c r="G64" s="21">
        <f t="shared" si="8"/>
        <v>0</v>
      </c>
    </row>
    <row r="65" spans="1:7" ht="25.5" x14ac:dyDescent="0.2">
      <c r="A65" s="32">
        <f t="shared" si="9"/>
        <v>50</v>
      </c>
      <c r="B65" s="37" t="s">
        <v>96</v>
      </c>
      <c r="C65" s="25" t="s">
        <v>98</v>
      </c>
      <c r="D65" s="38" t="s">
        <v>49</v>
      </c>
      <c r="E65" s="24">
        <f>CEILING(245*1.5,0.1)</f>
        <v>367.5</v>
      </c>
      <c r="F65" s="20"/>
      <c r="G65" s="21">
        <f t="shared" si="8"/>
        <v>0</v>
      </c>
    </row>
    <row r="66" spans="1:7" ht="25.5" x14ac:dyDescent="0.2">
      <c r="A66" s="32">
        <f t="shared" si="9"/>
        <v>51</v>
      </c>
      <c r="B66" s="37" t="s">
        <v>99</v>
      </c>
      <c r="C66" s="49" t="s">
        <v>100</v>
      </c>
      <c r="D66" s="38" t="s">
        <v>29</v>
      </c>
      <c r="E66" s="24">
        <f>CEILING(126.7+5,0.1)</f>
        <v>131.70000000000002</v>
      </c>
      <c r="F66" s="52"/>
      <c r="G66" s="21">
        <f t="shared" si="8"/>
        <v>0</v>
      </c>
    </row>
    <row r="67" spans="1:7" ht="15.75" customHeight="1" x14ac:dyDescent="0.2">
      <c r="A67" s="53" t="s">
        <v>101</v>
      </c>
      <c r="B67" s="54"/>
      <c r="C67" s="126" t="s">
        <v>102</v>
      </c>
      <c r="D67" s="126"/>
      <c r="E67" s="55"/>
      <c r="F67" s="55"/>
      <c r="G67" s="44"/>
    </row>
    <row r="68" spans="1:7" ht="25.5" x14ac:dyDescent="0.2">
      <c r="A68" s="16">
        <f>A66+1</f>
        <v>52</v>
      </c>
      <c r="B68" s="17" t="s">
        <v>103</v>
      </c>
      <c r="C68" s="56" t="s">
        <v>104</v>
      </c>
      <c r="D68" s="38" t="s">
        <v>49</v>
      </c>
      <c r="E68" s="24">
        <f>CEILING(10*3+0.375*2.5*3+0.232*5*2,0.1)</f>
        <v>35.200000000000003</v>
      </c>
      <c r="F68" s="20"/>
      <c r="G68" s="21">
        <f t="shared" ref="G68:G74" si="10">ROUND(E68*F68,2)</f>
        <v>0</v>
      </c>
    </row>
    <row r="69" spans="1:7" ht="51" x14ac:dyDescent="0.2">
      <c r="A69" s="16">
        <f t="shared" ref="A69:A74" si="11">A68+1</f>
        <v>53</v>
      </c>
      <c r="B69" s="17" t="s">
        <v>105</v>
      </c>
      <c r="C69" s="25" t="s">
        <v>106</v>
      </c>
      <c r="D69" s="38" t="s">
        <v>35</v>
      </c>
      <c r="E69" s="24">
        <v>4</v>
      </c>
      <c r="F69" s="20"/>
      <c r="G69" s="21">
        <f t="shared" si="10"/>
        <v>0</v>
      </c>
    </row>
    <row r="70" spans="1:7" ht="51" x14ac:dyDescent="0.2">
      <c r="A70" s="16">
        <f t="shared" si="11"/>
        <v>54</v>
      </c>
      <c r="B70" s="17" t="s">
        <v>105</v>
      </c>
      <c r="C70" s="25" t="s">
        <v>107</v>
      </c>
      <c r="D70" s="38" t="s">
        <v>35</v>
      </c>
      <c r="E70" s="24">
        <v>4</v>
      </c>
      <c r="F70" s="20"/>
      <c r="G70" s="21">
        <f t="shared" si="10"/>
        <v>0</v>
      </c>
    </row>
    <row r="71" spans="1:7" ht="51" x14ac:dyDescent="0.2">
      <c r="A71" s="16">
        <f t="shared" si="11"/>
        <v>55</v>
      </c>
      <c r="B71" s="17" t="s">
        <v>105</v>
      </c>
      <c r="C71" s="25" t="s">
        <v>108</v>
      </c>
      <c r="D71" s="38" t="s">
        <v>35</v>
      </c>
      <c r="E71" s="24">
        <v>2</v>
      </c>
      <c r="F71" s="20"/>
      <c r="G71" s="21">
        <f t="shared" si="10"/>
        <v>0</v>
      </c>
    </row>
    <row r="72" spans="1:7" ht="51" x14ac:dyDescent="0.2">
      <c r="A72" s="16">
        <f t="shared" si="11"/>
        <v>56</v>
      </c>
      <c r="B72" s="17" t="s">
        <v>105</v>
      </c>
      <c r="C72" s="25" t="s">
        <v>109</v>
      </c>
      <c r="D72" s="38" t="s">
        <v>35</v>
      </c>
      <c r="E72" s="24">
        <f>2+2+4</f>
        <v>8</v>
      </c>
      <c r="F72" s="20"/>
      <c r="G72" s="21">
        <f t="shared" si="10"/>
        <v>0</v>
      </c>
    </row>
    <row r="73" spans="1:7" ht="51" x14ac:dyDescent="0.2">
      <c r="A73" s="16">
        <f t="shared" si="11"/>
        <v>57</v>
      </c>
      <c r="B73" s="17" t="s">
        <v>105</v>
      </c>
      <c r="C73" s="25" t="s">
        <v>110</v>
      </c>
      <c r="D73" s="38" t="s">
        <v>35</v>
      </c>
      <c r="E73" s="24">
        <v>2</v>
      </c>
      <c r="F73" s="20"/>
      <c r="G73" s="21">
        <f t="shared" si="10"/>
        <v>0</v>
      </c>
    </row>
    <row r="74" spans="1:7" x14ac:dyDescent="0.2">
      <c r="A74" s="16">
        <f t="shared" si="11"/>
        <v>58</v>
      </c>
      <c r="B74" s="17" t="s">
        <v>111</v>
      </c>
      <c r="C74" s="25" t="s">
        <v>112</v>
      </c>
      <c r="D74" s="38" t="s">
        <v>113</v>
      </c>
      <c r="E74" s="24">
        <v>10</v>
      </c>
      <c r="F74" s="20"/>
      <c r="G74" s="21">
        <f t="shared" si="10"/>
        <v>0</v>
      </c>
    </row>
    <row r="75" spans="1:7" ht="15.75" x14ac:dyDescent="0.2">
      <c r="A75" s="57" t="s">
        <v>114</v>
      </c>
      <c r="B75" s="27"/>
      <c r="C75" s="28" t="s">
        <v>115</v>
      </c>
      <c r="D75" s="29"/>
      <c r="E75" s="58"/>
      <c r="F75" s="31"/>
      <c r="G75" s="44"/>
    </row>
    <row r="76" spans="1:7" ht="25.5" x14ac:dyDescent="0.2">
      <c r="A76" s="59">
        <f>A74+1</f>
        <v>59</v>
      </c>
      <c r="B76" s="60" t="s">
        <v>116</v>
      </c>
      <c r="C76" s="61" t="s">
        <v>117</v>
      </c>
      <c r="D76" s="62" t="s">
        <v>49</v>
      </c>
      <c r="E76" s="63">
        <f>(E13)/0.05</f>
        <v>452</v>
      </c>
      <c r="F76" s="64"/>
      <c r="G76" s="65">
        <f>ROUND(E76*F76,2)</f>
        <v>0</v>
      </c>
    </row>
    <row r="77" spans="1:7" ht="12.75" customHeight="1" x14ac:dyDescent="0.2">
      <c r="A77" s="66"/>
      <c r="B77" s="67"/>
      <c r="C77" s="122" t="s">
        <v>118</v>
      </c>
      <c r="D77" s="122"/>
      <c r="E77" s="122"/>
      <c r="F77" s="68" t="s">
        <v>119</v>
      </c>
      <c r="G77" s="69">
        <f>SUM(G11:G76)</f>
        <v>0</v>
      </c>
    </row>
    <row r="78" spans="1:7" ht="15" x14ac:dyDescent="0.2">
      <c r="A78" s="13"/>
      <c r="B78" s="70"/>
      <c r="C78" s="15" t="s">
        <v>120</v>
      </c>
      <c r="D78" s="128"/>
      <c r="E78" s="128"/>
      <c r="F78" s="128"/>
      <c r="G78" s="128"/>
    </row>
    <row r="79" spans="1:7" x14ac:dyDescent="0.2">
      <c r="A79" s="71">
        <v>60</v>
      </c>
      <c r="B79" s="72" t="s">
        <v>11</v>
      </c>
      <c r="C79" s="73" t="s">
        <v>12</v>
      </c>
      <c r="D79" s="74" t="s">
        <v>13</v>
      </c>
      <c r="E79" s="75">
        <v>0.35</v>
      </c>
      <c r="F79" s="76"/>
      <c r="G79" s="77">
        <f t="shared" ref="G79:G98" si="12">ROUND(E79*F79,2)</f>
        <v>0</v>
      </c>
    </row>
    <row r="80" spans="1:7" ht="15.75" x14ac:dyDescent="0.2">
      <c r="A80" s="16">
        <f t="shared" ref="A80:A98" si="13">A79+1</f>
        <v>61</v>
      </c>
      <c r="B80" s="22" t="s">
        <v>14</v>
      </c>
      <c r="C80" s="25" t="s">
        <v>121</v>
      </c>
      <c r="D80" s="23" t="s">
        <v>16</v>
      </c>
      <c r="E80" s="24">
        <f>CEILING(124.83,0.1)</f>
        <v>124.9</v>
      </c>
      <c r="F80" s="20"/>
      <c r="G80" s="21">
        <f t="shared" si="12"/>
        <v>0</v>
      </c>
    </row>
    <row r="81" spans="1:7" ht="25.5" x14ac:dyDescent="0.2">
      <c r="A81" s="16">
        <f t="shared" si="13"/>
        <v>62</v>
      </c>
      <c r="B81" s="17" t="s">
        <v>14</v>
      </c>
      <c r="C81" s="18" t="s">
        <v>122</v>
      </c>
      <c r="D81" s="23" t="s">
        <v>16</v>
      </c>
      <c r="E81" s="24">
        <f>CEILING(16.09,0.1)</f>
        <v>16.100000000000001</v>
      </c>
      <c r="F81" s="20"/>
      <c r="G81" s="21">
        <f t="shared" si="12"/>
        <v>0</v>
      </c>
    </row>
    <row r="82" spans="1:7" ht="25.5" x14ac:dyDescent="0.2">
      <c r="A82" s="16">
        <f t="shared" si="13"/>
        <v>63</v>
      </c>
      <c r="B82" s="17" t="s">
        <v>14</v>
      </c>
      <c r="C82" s="18" t="s">
        <v>18</v>
      </c>
      <c r="D82" s="23" t="s">
        <v>16</v>
      </c>
      <c r="E82" s="24">
        <f>E80-E81</f>
        <v>108.80000000000001</v>
      </c>
      <c r="F82" s="20"/>
      <c r="G82" s="21">
        <f t="shared" si="12"/>
        <v>0</v>
      </c>
    </row>
    <row r="83" spans="1:7" ht="25.5" x14ac:dyDescent="0.2">
      <c r="A83" s="16">
        <f t="shared" si="13"/>
        <v>64</v>
      </c>
      <c r="B83" s="17" t="s">
        <v>19</v>
      </c>
      <c r="C83" s="18" t="s">
        <v>123</v>
      </c>
      <c r="D83" s="19" t="s">
        <v>21</v>
      </c>
      <c r="E83" s="24">
        <f>CEILING(58.94,0.1)</f>
        <v>59</v>
      </c>
      <c r="F83" s="20"/>
      <c r="G83" s="21">
        <f t="shared" si="12"/>
        <v>0</v>
      </c>
    </row>
    <row r="84" spans="1:7" ht="25.5" x14ac:dyDescent="0.2">
      <c r="A84" s="16">
        <f t="shared" si="13"/>
        <v>65</v>
      </c>
      <c r="B84" s="17" t="s">
        <v>19</v>
      </c>
      <c r="C84" s="18" t="s">
        <v>124</v>
      </c>
      <c r="D84" s="19" t="s">
        <v>21</v>
      </c>
      <c r="E84" s="24">
        <f>CEILING(1005.17+473.14,0.1)</f>
        <v>1478.4</v>
      </c>
      <c r="F84" s="20"/>
      <c r="G84" s="21">
        <f t="shared" si="12"/>
        <v>0</v>
      </c>
    </row>
    <row r="85" spans="1:7" ht="25.5" x14ac:dyDescent="0.2">
      <c r="A85" s="16">
        <f t="shared" si="13"/>
        <v>66</v>
      </c>
      <c r="B85" s="17" t="s">
        <v>19</v>
      </c>
      <c r="C85" s="18" t="s">
        <v>125</v>
      </c>
      <c r="D85" s="19" t="s">
        <v>21</v>
      </c>
      <c r="E85" s="24">
        <f>CEILING(41.2*1.2+54.1*1.8,0.1)</f>
        <v>146.9</v>
      </c>
      <c r="F85" s="20"/>
      <c r="G85" s="21">
        <f t="shared" si="12"/>
        <v>0</v>
      </c>
    </row>
    <row r="86" spans="1:7" ht="25.5" x14ac:dyDescent="0.2">
      <c r="A86" s="16">
        <f t="shared" si="13"/>
        <v>67</v>
      </c>
      <c r="B86" s="17" t="s">
        <v>19</v>
      </c>
      <c r="C86" s="18" t="s">
        <v>126</v>
      </c>
      <c r="D86" s="19" t="s">
        <v>29</v>
      </c>
      <c r="E86" s="24">
        <f>CEILING(21.4+146+18+133.5+61.9+8.8+24.9,0.1)</f>
        <v>414.5</v>
      </c>
      <c r="F86" s="20"/>
      <c r="G86" s="21">
        <f t="shared" si="12"/>
        <v>0</v>
      </c>
    </row>
    <row r="87" spans="1:7" ht="25.5" x14ac:dyDescent="0.2">
      <c r="A87" s="16">
        <f t="shared" si="13"/>
        <v>68</v>
      </c>
      <c r="B87" s="17" t="s">
        <v>19</v>
      </c>
      <c r="C87" s="18" t="s">
        <v>127</v>
      </c>
      <c r="D87" s="19" t="s">
        <v>29</v>
      </c>
      <c r="E87" s="24">
        <f>CEILING(41.2+1.2*2+54.1+1.8*2,0.1)</f>
        <v>101.30000000000001</v>
      </c>
      <c r="F87" s="20"/>
      <c r="G87" s="21">
        <f t="shared" si="12"/>
        <v>0</v>
      </c>
    </row>
    <row r="88" spans="1:7" ht="25.5" x14ac:dyDescent="0.2">
      <c r="A88" s="16">
        <f t="shared" si="13"/>
        <v>69</v>
      </c>
      <c r="B88" s="17" t="s">
        <v>128</v>
      </c>
      <c r="C88" s="25" t="s">
        <v>129</v>
      </c>
      <c r="D88" s="19" t="s">
        <v>130</v>
      </c>
      <c r="E88" s="24">
        <v>7</v>
      </c>
      <c r="F88" s="20"/>
      <c r="G88" s="21">
        <f t="shared" si="12"/>
        <v>0</v>
      </c>
    </row>
    <row r="89" spans="1:7" ht="25.5" x14ac:dyDescent="0.2">
      <c r="A89" s="16">
        <f t="shared" si="13"/>
        <v>70</v>
      </c>
      <c r="B89" s="17" t="s">
        <v>128</v>
      </c>
      <c r="C89" s="25" t="s">
        <v>131</v>
      </c>
      <c r="D89" s="19" t="s">
        <v>130</v>
      </c>
      <c r="E89" s="24">
        <v>11</v>
      </c>
      <c r="F89" s="20"/>
      <c r="G89" s="21">
        <f t="shared" si="12"/>
        <v>0</v>
      </c>
    </row>
    <row r="90" spans="1:7" ht="25.5" x14ac:dyDescent="0.2">
      <c r="A90" s="16">
        <f t="shared" si="13"/>
        <v>71</v>
      </c>
      <c r="B90" s="17" t="s">
        <v>128</v>
      </c>
      <c r="C90" s="25" t="s">
        <v>132</v>
      </c>
      <c r="D90" s="19" t="s">
        <v>130</v>
      </c>
      <c r="E90" s="24">
        <v>4</v>
      </c>
      <c r="F90" s="20"/>
      <c r="G90" s="21">
        <f t="shared" si="12"/>
        <v>0</v>
      </c>
    </row>
    <row r="91" spans="1:7" ht="25.5" x14ac:dyDescent="0.2">
      <c r="A91" s="16">
        <f t="shared" si="13"/>
        <v>72</v>
      </c>
      <c r="B91" s="17" t="s">
        <v>128</v>
      </c>
      <c r="C91" s="25" t="s">
        <v>133</v>
      </c>
      <c r="D91" s="19" t="s">
        <v>130</v>
      </c>
      <c r="E91" s="24">
        <v>2</v>
      </c>
      <c r="F91" s="20"/>
      <c r="G91" s="21">
        <f t="shared" si="12"/>
        <v>0</v>
      </c>
    </row>
    <row r="92" spans="1:7" ht="25.5" x14ac:dyDescent="0.2">
      <c r="A92" s="16">
        <f t="shared" si="13"/>
        <v>73</v>
      </c>
      <c r="B92" s="17" t="s">
        <v>128</v>
      </c>
      <c r="C92" s="25" t="s">
        <v>134</v>
      </c>
      <c r="D92" s="19" t="s">
        <v>21</v>
      </c>
      <c r="E92" s="24">
        <f>45+20</f>
        <v>65</v>
      </c>
      <c r="F92" s="20"/>
      <c r="G92" s="21">
        <f t="shared" si="12"/>
        <v>0</v>
      </c>
    </row>
    <row r="93" spans="1:7" ht="25.5" x14ac:dyDescent="0.2">
      <c r="A93" s="16">
        <f t="shared" si="13"/>
        <v>74</v>
      </c>
      <c r="B93" s="17" t="s">
        <v>19</v>
      </c>
      <c r="C93" s="18" t="s">
        <v>135</v>
      </c>
      <c r="D93" s="19" t="s">
        <v>29</v>
      </c>
      <c r="E93" s="24">
        <v>8</v>
      </c>
      <c r="F93" s="20"/>
      <c r="G93" s="21">
        <f t="shared" si="12"/>
        <v>0</v>
      </c>
    </row>
    <row r="94" spans="1:7" ht="25.5" x14ac:dyDescent="0.2">
      <c r="A94" s="16">
        <f t="shared" si="13"/>
        <v>75</v>
      </c>
      <c r="B94" s="17" t="s">
        <v>136</v>
      </c>
      <c r="C94" s="25" t="s">
        <v>137</v>
      </c>
      <c r="D94" s="19" t="s">
        <v>29</v>
      </c>
      <c r="E94" s="24">
        <f>8+15+15</f>
        <v>38</v>
      </c>
      <c r="F94" s="20"/>
      <c r="G94" s="21">
        <f t="shared" si="12"/>
        <v>0</v>
      </c>
    </row>
    <row r="95" spans="1:7" x14ac:dyDescent="0.2">
      <c r="A95" s="16">
        <f t="shared" si="13"/>
        <v>76</v>
      </c>
      <c r="B95" s="17" t="s">
        <v>36</v>
      </c>
      <c r="C95" s="25" t="s">
        <v>138</v>
      </c>
      <c r="D95" s="23" t="s">
        <v>35</v>
      </c>
      <c r="E95" s="24">
        <v>7</v>
      </c>
      <c r="F95" s="20"/>
      <c r="G95" s="21">
        <f t="shared" si="12"/>
        <v>0</v>
      </c>
    </row>
    <row r="96" spans="1:7" x14ac:dyDescent="0.2">
      <c r="A96" s="16">
        <f t="shared" si="13"/>
        <v>77</v>
      </c>
      <c r="B96" s="17" t="s">
        <v>36</v>
      </c>
      <c r="C96" s="25" t="s">
        <v>139</v>
      </c>
      <c r="D96" s="23" t="s">
        <v>35</v>
      </c>
      <c r="E96" s="24">
        <v>1</v>
      </c>
      <c r="F96" s="20"/>
      <c r="G96" s="21">
        <f t="shared" si="12"/>
        <v>0</v>
      </c>
    </row>
    <row r="97" spans="1:7" x14ac:dyDescent="0.2">
      <c r="A97" s="16">
        <f t="shared" si="13"/>
        <v>78</v>
      </c>
      <c r="B97" s="17" t="s">
        <v>36</v>
      </c>
      <c r="C97" s="25" t="s">
        <v>37</v>
      </c>
      <c r="D97" s="23" t="s">
        <v>35</v>
      </c>
      <c r="E97" s="24">
        <v>7</v>
      </c>
      <c r="F97" s="20"/>
      <c r="G97" s="21">
        <f t="shared" si="12"/>
        <v>0</v>
      </c>
    </row>
    <row r="98" spans="1:7" x14ac:dyDescent="0.2">
      <c r="A98" s="16">
        <f t="shared" si="13"/>
        <v>79</v>
      </c>
      <c r="B98" s="17" t="s">
        <v>36</v>
      </c>
      <c r="C98" s="25" t="s">
        <v>140</v>
      </c>
      <c r="D98" s="23" t="s">
        <v>35</v>
      </c>
      <c r="E98" s="24">
        <v>1</v>
      </c>
      <c r="F98" s="20"/>
      <c r="G98" s="21">
        <f t="shared" si="12"/>
        <v>0</v>
      </c>
    </row>
    <row r="99" spans="1:7" ht="15.75" x14ac:dyDescent="0.2">
      <c r="A99" s="26" t="s">
        <v>38</v>
      </c>
      <c r="B99" s="27"/>
      <c r="C99" s="28" t="s">
        <v>39</v>
      </c>
      <c r="D99" s="29"/>
      <c r="E99" s="30"/>
      <c r="F99" s="78"/>
      <c r="G99" s="21"/>
    </row>
    <row r="100" spans="1:7" ht="25.5" x14ac:dyDescent="0.2">
      <c r="A100" s="32">
        <f>A98+1</f>
        <v>80</v>
      </c>
      <c r="B100" s="33" t="s">
        <v>40</v>
      </c>
      <c r="C100" s="34" t="s">
        <v>41</v>
      </c>
      <c r="D100" s="35" t="s">
        <v>42</v>
      </c>
      <c r="E100" s="24">
        <f>CEILING(77.11,0.1)</f>
        <v>77.2</v>
      </c>
      <c r="F100" s="20"/>
      <c r="G100" s="21">
        <f t="shared" ref="G100:G105" si="14">ROUND(E100*F100,2)</f>
        <v>0</v>
      </c>
    </row>
    <row r="101" spans="1:7" ht="25.5" x14ac:dyDescent="0.2">
      <c r="A101" s="32">
        <f>A100+1</f>
        <v>81</v>
      </c>
      <c r="B101" s="37" t="s">
        <v>44</v>
      </c>
      <c r="C101" s="25" t="s">
        <v>45</v>
      </c>
      <c r="D101" s="38" t="s">
        <v>16</v>
      </c>
      <c r="E101" s="24">
        <f>CEILING(E100,0.1)</f>
        <v>77.2</v>
      </c>
      <c r="F101" s="20"/>
      <c r="G101" s="21">
        <f t="shared" si="14"/>
        <v>0</v>
      </c>
    </row>
    <row r="102" spans="1:7" ht="25.5" x14ac:dyDescent="0.2">
      <c r="A102" s="32">
        <f>A101+1</f>
        <v>82</v>
      </c>
      <c r="B102" s="37" t="s">
        <v>40</v>
      </c>
      <c r="C102" s="34" t="s">
        <v>141</v>
      </c>
      <c r="D102" s="38" t="s">
        <v>16</v>
      </c>
      <c r="E102" s="24">
        <f>CEILING(498.98-77.11,0.1)</f>
        <v>421.90000000000003</v>
      </c>
      <c r="F102" s="20"/>
      <c r="G102" s="21">
        <f t="shared" si="14"/>
        <v>0</v>
      </c>
    </row>
    <row r="103" spans="1:7" ht="25.5" x14ac:dyDescent="0.2">
      <c r="A103" s="32">
        <f>A102+1</f>
        <v>83</v>
      </c>
      <c r="B103" s="37" t="s">
        <v>40</v>
      </c>
      <c r="C103" s="34" t="s">
        <v>47</v>
      </c>
      <c r="D103" s="38" t="s">
        <v>16</v>
      </c>
      <c r="E103" s="24">
        <f>CEILING(45.93,0.1)</f>
        <v>46</v>
      </c>
      <c r="F103" s="20"/>
      <c r="G103" s="21">
        <f t="shared" si="14"/>
        <v>0</v>
      </c>
    </row>
    <row r="104" spans="1:7" ht="38.25" x14ac:dyDescent="0.2">
      <c r="A104" s="32">
        <f>A103+1</f>
        <v>84</v>
      </c>
      <c r="B104" s="37" t="s">
        <v>44</v>
      </c>
      <c r="C104" s="25" t="s">
        <v>48</v>
      </c>
      <c r="D104" s="38" t="s">
        <v>49</v>
      </c>
      <c r="E104" s="24">
        <f>CEILING(137*2.35+129.06*1.1+24.1*1.1+0.56,0.1)</f>
        <v>491</v>
      </c>
      <c r="F104" s="20"/>
      <c r="G104" s="21">
        <f t="shared" si="14"/>
        <v>0</v>
      </c>
    </row>
    <row r="105" spans="1:7" ht="25.5" x14ac:dyDescent="0.2">
      <c r="A105" s="32">
        <f>A104+1</f>
        <v>85</v>
      </c>
      <c r="B105" s="37" t="s">
        <v>50</v>
      </c>
      <c r="C105" s="25" t="s">
        <v>51</v>
      </c>
      <c r="D105" s="38" t="s">
        <v>49</v>
      </c>
      <c r="E105" s="24">
        <f>CEILING(E81/0.05,0.1)</f>
        <v>322</v>
      </c>
      <c r="F105" s="20"/>
      <c r="G105" s="21">
        <f t="shared" si="14"/>
        <v>0</v>
      </c>
    </row>
    <row r="106" spans="1:7" x14ac:dyDescent="0.2">
      <c r="A106" s="39" t="s">
        <v>52</v>
      </c>
      <c r="B106" s="40"/>
      <c r="C106" s="41" t="s">
        <v>53</v>
      </c>
      <c r="D106" s="38"/>
      <c r="E106" s="24"/>
      <c r="F106" s="42"/>
      <c r="G106" s="21"/>
    </row>
    <row r="107" spans="1:7" ht="15.75" x14ac:dyDescent="0.2">
      <c r="A107" s="39" t="s">
        <v>54</v>
      </c>
      <c r="B107" s="40"/>
      <c r="C107" s="41" t="s">
        <v>55</v>
      </c>
      <c r="D107" s="29"/>
      <c r="E107" s="43"/>
      <c r="F107" s="20"/>
      <c r="G107" s="44"/>
    </row>
    <row r="108" spans="1:7" ht="38.25" x14ac:dyDescent="0.2">
      <c r="A108" s="32">
        <f>A105+1</f>
        <v>86</v>
      </c>
      <c r="B108" s="37" t="s">
        <v>56</v>
      </c>
      <c r="C108" s="25" t="s">
        <v>142</v>
      </c>
      <c r="D108" s="38" t="s">
        <v>49</v>
      </c>
      <c r="E108" s="24">
        <f>CEILING(E115+E116+E118*0.15+E119*0.15+E120*0.25+E121+E123*0.5+E104,0.1)</f>
        <v>2894.8</v>
      </c>
      <c r="F108" s="20"/>
      <c r="G108" s="21">
        <f t="shared" ref="G108:G113" si="15">ROUND(E108*F108,2)</f>
        <v>0</v>
      </c>
    </row>
    <row r="109" spans="1:7" ht="38.25" x14ac:dyDescent="0.2">
      <c r="A109" s="32">
        <f>A108+1</f>
        <v>87</v>
      </c>
      <c r="B109" s="37" t="s">
        <v>62</v>
      </c>
      <c r="C109" s="25" t="s">
        <v>143</v>
      </c>
      <c r="D109" s="38" t="s">
        <v>49</v>
      </c>
      <c r="E109" s="24">
        <f>CEILING(E115+102.56,0.1)</f>
        <v>1935</v>
      </c>
      <c r="F109" s="20"/>
      <c r="G109" s="21">
        <f t="shared" si="15"/>
        <v>0</v>
      </c>
    </row>
    <row r="110" spans="1:7" ht="25.5" x14ac:dyDescent="0.2">
      <c r="A110" s="32">
        <f>A109+1</f>
        <v>88</v>
      </c>
      <c r="B110" s="37" t="s">
        <v>65</v>
      </c>
      <c r="C110" s="25" t="s">
        <v>144</v>
      </c>
      <c r="D110" s="38" t="s">
        <v>49</v>
      </c>
      <c r="E110" s="24">
        <f>CEILING(E115+99.99,0.1)</f>
        <v>1932.4</v>
      </c>
      <c r="F110" s="20"/>
      <c r="G110" s="21">
        <f t="shared" si="15"/>
        <v>0</v>
      </c>
    </row>
    <row r="111" spans="1:7" ht="25.5" x14ac:dyDescent="0.2">
      <c r="A111" s="32">
        <f>A110+1</f>
        <v>89</v>
      </c>
      <c r="B111" s="37" t="s">
        <v>65</v>
      </c>
      <c r="C111" s="25" t="s">
        <v>145</v>
      </c>
      <c r="D111" s="38" t="s">
        <v>49</v>
      </c>
      <c r="E111" s="24">
        <f>CEILING(E123*(0.5+0.3),0.1)</f>
        <v>297.2</v>
      </c>
      <c r="F111" s="20"/>
      <c r="G111" s="21">
        <f t="shared" si="15"/>
        <v>0</v>
      </c>
    </row>
    <row r="112" spans="1:7" ht="25.5" x14ac:dyDescent="0.2">
      <c r="A112" s="32">
        <f>A111+1</f>
        <v>90</v>
      </c>
      <c r="B112" s="37" t="s">
        <v>65</v>
      </c>
      <c r="C112" s="25" t="s">
        <v>146</v>
      </c>
      <c r="D112" s="38" t="s">
        <v>49</v>
      </c>
      <c r="E112" s="24">
        <f>CEILING(E120*0.25,0.1)</f>
        <v>28.8</v>
      </c>
      <c r="F112" s="20"/>
      <c r="G112" s="21">
        <f t="shared" si="15"/>
        <v>0</v>
      </c>
    </row>
    <row r="113" spans="1:7" ht="25.5" x14ac:dyDescent="0.2">
      <c r="A113" s="32">
        <f>A112+1</f>
        <v>91</v>
      </c>
      <c r="B113" s="37" t="s">
        <v>65</v>
      </c>
      <c r="C113" s="25" t="s">
        <v>147</v>
      </c>
      <c r="D113" s="38" t="s">
        <v>49</v>
      </c>
      <c r="E113" s="24">
        <f>CEILING(E121,0.1)</f>
        <v>144.6</v>
      </c>
      <c r="F113" s="20"/>
      <c r="G113" s="21">
        <f t="shared" si="15"/>
        <v>0</v>
      </c>
    </row>
    <row r="114" spans="1:7" ht="15.75" x14ac:dyDescent="0.2">
      <c r="A114" s="39" t="s">
        <v>76</v>
      </c>
      <c r="B114" s="47"/>
      <c r="C114" s="28" t="s">
        <v>77</v>
      </c>
      <c r="D114" s="29"/>
      <c r="E114" s="30"/>
      <c r="F114" s="48"/>
      <c r="G114" s="44"/>
    </row>
    <row r="115" spans="1:7" ht="25.5" x14ac:dyDescent="0.2">
      <c r="A115" s="32">
        <f>A113+1</f>
        <v>92</v>
      </c>
      <c r="B115" s="37" t="s">
        <v>83</v>
      </c>
      <c r="C115" s="49" t="s">
        <v>148</v>
      </c>
      <c r="D115" s="38" t="s">
        <v>49</v>
      </c>
      <c r="E115" s="24">
        <f>CEILING(1947.87-357.3*0.5+70.22-14.24*0.5,0.1)</f>
        <v>1832.4</v>
      </c>
      <c r="F115" s="50"/>
      <c r="G115" s="21">
        <f>ROUND(E115*F115,2)</f>
        <v>0</v>
      </c>
    </row>
    <row r="116" spans="1:7" ht="25.5" x14ac:dyDescent="0.2">
      <c r="A116" s="32">
        <f>A115+1</f>
        <v>93</v>
      </c>
      <c r="B116" s="37" t="s">
        <v>83</v>
      </c>
      <c r="C116" s="25" t="s">
        <v>149</v>
      </c>
      <c r="D116" s="38" t="s">
        <v>49</v>
      </c>
      <c r="E116" s="24">
        <f>CEILING(99.41+5.43,0.1)</f>
        <v>104.9</v>
      </c>
      <c r="F116" s="50"/>
      <c r="G116" s="21">
        <f>ROUND(E116*F116,2)</f>
        <v>0</v>
      </c>
    </row>
    <row r="117" spans="1:7" ht="15.75" x14ac:dyDescent="0.2">
      <c r="A117" s="39" t="s">
        <v>87</v>
      </c>
      <c r="B117" s="51"/>
      <c r="C117" s="28" t="s">
        <v>88</v>
      </c>
      <c r="D117" s="29"/>
      <c r="E117" s="24"/>
      <c r="F117" s="31"/>
      <c r="G117" s="44"/>
    </row>
    <row r="118" spans="1:7" ht="25.5" x14ac:dyDescent="0.2">
      <c r="A118" s="32">
        <f>A116+1</f>
        <v>94</v>
      </c>
      <c r="B118" s="37" t="s">
        <v>89</v>
      </c>
      <c r="C118" s="25" t="s">
        <v>90</v>
      </c>
      <c r="D118" s="38" t="s">
        <v>29</v>
      </c>
      <c r="E118" s="24">
        <f>CEILING(145-8+0.17,0.1)</f>
        <v>137.20000000000002</v>
      </c>
      <c r="F118" s="20"/>
      <c r="G118" s="21">
        <f t="shared" ref="G118:G123" si="16">ROUND(E118*F118,2)</f>
        <v>0</v>
      </c>
    </row>
    <row r="119" spans="1:7" ht="25.5" x14ac:dyDescent="0.2">
      <c r="A119" s="32">
        <f>A118+1</f>
        <v>95</v>
      </c>
      <c r="B119" s="37" t="s">
        <v>89</v>
      </c>
      <c r="C119" s="25" t="s">
        <v>91</v>
      </c>
      <c r="D119" s="38" t="s">
        <v>29</v>
      </c>
      <c r="E119" s="24">
        <f>CEILING(8.89+197.65+154.43+189.17+10.63+17.6,0.1)</f>
        <v>578.4</v>
      </c>
      <c r="F119" s="20"/>
      <c r="G119" s="21">
        <f t="shared" si="16"/>
        <v>0</v>
      </c>
    </row>
    <row r="120" spans="1:7" ht="25.5" x14ac:dyDescent="0.2">
      <c r="A120" s="32">
        <f>A119+1</f>
        <v>96</v>
      </c>
      <c r="B120" s="37" t="s">
        <v>89</v>
      </c>
      <c r="C120" s="25" t="s">
        <v>150</v>
      </c>
      <c r="D120" s="38" t="s">
        <v>29</v>
      </c>
      <c r="E120" s="24">
        <f>CEILING(21.48+19.26+5.5+17.45 + 50.74-8+16.62-8,0.1)</f>
        <v>115.10000000000001</v>
      </c>
      <c r="F120" s="20"/>
      <c r="G120" s="21">
        <f t="shared" si="16"/>
        <v>0</v>
      </c>
    </row>
    <row r="121" spans="1:7" ht="25.5" x14ac:dyDescent="0.2">
      <c r="A121" s="32">
        <f>A120+1</f>
        <v>97</v>
      </c>
      <c r="B121" s="37" t="s">
        <v>96</v>
      </c>
      <c r="C121" s="25" t="s">
        <v>151</v>
      </c>
      <c r="D121" s="38" t="s">
        <v>49</v>
      </c>
      <c r="E121" s="24">
        <f>CEILING(118*1.2+3*1,0.1)</f>
        <v>144.6</v>
      </c>
      <c r="F121" s="20"/>
      <c r="G121" s="21">
        <f t="shared" si="16"/>
        <v>0</v>
      </c>
    </row>
    <row r="122" spans="1:7" ht="25.5" x14ac:dyDescent="0.2">
      <c r="A122" s="32">
        <f>A121+1</f>
        <v>98</v>
      </c>
      <c r="B122" s="37" t="s">
        <v>93</v>
      </c>
      <c r="C122" s="25" t="s">
        <v>152</v>
      </c>
      <c r="D122" s="38" t="s">
        <v>29</v>
      </c>
      <c r="E122" s="24">
        <f>CEILING(118+2*1.2+3*1*2,0.1)</f>
        <v>126.4</v>
      </c>
      <c r="F122" s="20"/>
      <c r="G122" s="21">
        <f t="shared" si="16"/>
        <v>0</v>
      </c>
    </row>
    <row r="123" spans="1:7" ht="25.5" x14ac:dyDescent="0.2">
      <c r="A123" s="32">
        <f>A122+1</f>
        <v>99</v>
      </c>
      <c r="B123" s="37" t="s">
        <v>153</v>
      </c>
      <c r="C123" s="49" t="s">
        <v>154</v>
      </c>
      <c r="D123" s="38" t="s">
        <v>29</v>
      </c>
      <c r="E123" s="24">
        <f>CEILING(357.22+14.24,0.1)</f>
        <v>371.5</v>
      </c>
      <c r="F123" s="52"/>
      <c r="G123" s="21">
        <f t="shared" si="16"/>
        <v>0</v>
      </c>
    </row>
    <row r="124" spans="1:7" ht="18.75" customHeight="1" x14ac:dyDescent="0.2">
      <c r="A124" s="53" t="s">
        <v>101</v>
      </c>
      <c r="B124" s="54"/>
      <c r="C124" s="126" t="s">
        <v>102</v>
      </c>
      <c r="D124" s="126"/>
      <c r="E124" s="1"/>
      <c r="F124" s="79"/>
      <c r="G124" s="44"/>
    </row>
    <row r="125" spans="1:7" ht="15.75" x14ac:dyDescent="0.2">
      <c r="A125" s="53" t="s">
        <v>114</v>
      </c>
      <c r="B125" s="27"/>
      <c r="C125" s="28" t="s">
        <v>115</v>
      </c>
      <c r="D125" s="29"/>
      <c r="E125" s="30"/>
      <c r="F125" s="31"/>
      <c r="G125" s="44"/>
    </row>
    <row r="126" spans="1:7" ht="25.5" x14ac:dyDescent="0.2">
      <c r="A126" s="59">
        <f>A123+1</f>
        <v>100</v>
      </c>
      <c r="B126" s="60" t="s">
        <v>116</v>
      </c>
      <c r="C126" s="61" t="s">
        <v>155</v>
      </c>
      <c r="D126" s="62" t="s">
        <v>49</v>
      </c>
      <c r="E126" s="63">
        <f>(E81)/0.05</f>
        <v>322</v>
      </c>
      <c r="F126" s="64"/>
      <c r="G126" s="65">
        <f>ROUND(E126*F126,2)</f>
        <v>0</v>
      </c>
    </row>
    <row r="127" spans="1:7" ht="12.75" customHeight="1" x14ac:dyDescent="0.2">
      <c r="A127" s="66"/>
      <c r="B127" s="67"/>
      <c r="C127" s="122" t="s">
        <v>156</v>
      </c>
      <c r="D127" s="122"/>
      <c r="E127" s="122"/>
      <c r="F127" s="68" t="s">
        <v>119</v>
      </c>
      <c r="G127" s="69">
        <f>SUM(G79:G126)</f>
        <v>0</v>
      </c>
    </row>
    <row r="128" spans="1:7" ht="12.75" customHeight="1" x14ac:dyDescent="0.2">
      <c r="A128" s="66"/>
      <c r="B128" s="67"/>
      <c r="C128" s="122"/>
      <c r="D128" s="122"/>
      <c r="E128" s="122"/>
      <c r="F128" s="68"/>
      <c r="G128" s="69"/>
    </row>
    <row r="129" spans="2:7" ht="19.5" customHeight="1" x14ac:dyDescent="0.2">
      <c r="B129" s="80"/>
      <c r="C129" s="81" t="s">
        <v>157</v>
      </c>
      <c r="D129" s="82"/>
      <c r="E129" s="83" t="s">
        <v>158</v>
      </c>
      <c r="F129" s="123" t="e">
        <f>G128+#REF!+#REF!+G127+G77</f>
        <v>#REF!</v>
      </c>
      <c r="G129" s="123"/>
    </row>
    <row r="130" spans="2:7" ht="19.5" customHeight="1" x14ac:dyDescent="0.2">
      <c r="B130" s="80"/>
      <c r="C130" s="84" t="s">
        <v>159</v>
      </c>
      <c r="D130" s="85"/>
      <c r="E130" s="86" t="s">
        <v>158</v>
      </c>
      <c r="F130" s="124" t="e">
        <f>ROUND(F129*0.23,2)</f>
        <v>#REF!</v>
      </c>
      <c r="G130" s="124"/>
    </row>
    <row r="131" spans="2:7" ht="19.5" customHeight="1" x14ac:dyDescent="0.2">
      <c r="B131" s="80"/>
      <c r="C131" s="87" t="s">
        <v>160</v>
      </c>
      <c r="D131" s="88"/>
      <c r="E131" s="89" t="s">
        <v>158</v>
      </c>
      <c r="F131" s="125" t="e">
        <f>F130+F129</f>
        <v>#REF!</v>
      </c>
      <c r="G131" s="125"/>
    </row>
    <row r="132" spans="2:7" ht="21.75" customHeight="1" x14ac:dyDescent="0.2">
      <c r="B132" s="90" t="s">
        <v>161</v>
      </c>
      <c r="C132" s="91"/>
      <c r="D132" s="92"/>
      <c r="E132" s="93"/>
      <c r="F132" s="94"/>
      <c r="G132" s="94"/>
    </row>
    <row r="133" spans="2:7" x14ac:dyDescent="0.2">
      <c r="B133" s="95"/>
      <c r="C133" s="96"/>
      <c r="D133" s="97"/>
      <c r="E133" s="98"/>
      <c r="G133" s="99"/>
    </row>
    <row r="134" spans="2:7" x14ac:dyDescent="0.2">
      <c r="B134" s="100"/>
      <c r="C134" s="101"/>
      <c r="D134" s="102"/>
      <c r="E134" s="103"/>
    </row>
    <row r="135" spans="2:7" x14ac:dyDescent="0.2">
      <c r="B135" s="100"/>
      <c r="C135" s="101"/>
      <c r="D135" s="102"/>
      <c r="E135" s="103"/>
    </row>
    <row r="136" spans="2:7" x14ac:dyDescent="0.2">
      <c r="B136" s="100"/>
      <c r="C136" s="101"/>
      <c r="D136" s="102"/>
      <c r="E136" s="103"/>
      <c r="G136" s="104"/>
    </row>
    <row r="137" spans="2:7" x14ac:dyDescent="0.2">
      <c r="B137" s="100"/>
      <c r="C137" s="101"/>
      <c r="D137" s="2"/>
      <c r="E137" s="105"/>
      <c r="G137" s="106"/>
    </row>
    <row r="138" spans="2:7" x14ac:dyDescent="0.2">
      <c r="B138" s="100"/>
      <c r="C138" s="101"/>
      <c r="D138" s="2"/>
      <c r="E138" s="101"/>
      <c r="G138" s="106"/>
    </row>
    <row r="139" spans="2:7" x14ac:dyDescent="0.2">
      <c r="B139" s="100"/>
      <c r="C139" s="101"/>
      <c r="D139" s="2"/>
      <c r="E139" s="101"/>
    </row>
    <row r="140" spans="2:7" x14ac:dyDescent="0.2">
      <c r="B140" s="100"/>
      <c r="C140" s="101"/>
      <c r="D140" s="2"/>
      <c r="E140" s="101"/>
    </row>
    <row r="141" spans="2:7" x14ac:dyDescent="0.2">
      <c r="B141" s="100"/>
      <c r="C141" s="101"/>
      <c r="D141" s="2"/>
      <c r="E141" s="101"/>
    </row>
    <row r="142" spans="2:7" x14ac:dyDescent="0.2">
      <c r="B142" s="100"/>
      <c r="C142" s="101"/>
      <c r="D142" s="2"/>
      <c r="E142" s="101"/>
    </row>
    <row r="143" spans="2:7" x14ac:dyDescent="0.2">
      <c r="B143" s="100"/>
      <c r="C143" s="101"/>
      <c r="D143" s="2"/>
      <c r="E143" s="101"/>
    </row>
    <row r="144" spans="2:7" x14ac:dyDescent="0.2">
      <c r="B144" s="100"/>
      <c r="C144" s="101"/>
      <c r="D144" s="2"/>
      <c r="E144" s="101"/>
    </row>
    <row r="145" spans="2:5" x14ac:dyDescent="0.2">
      <c r="B145" s="100"/>
      <c r="C145" s="101"/>
      <c r="D145" s="2"/>
      <c r="E145" s="101"/>
    </row>
    <row r="146" spans="2:5" x14ac:dyDescent="0.2">
      <c r="B146" s="100"/>
      <c r="C146" s="101"/>
      <c r="D146" s="2"/>
      <c r="E146" s="101"/>
    </row>
    <row r="147" spans="2:5" x14ac:dyDescent="0.2">
      <c r="B147" s="100"/>
      <c r="C147" s="101"/>
      <c r="D147" s="2"/>
      <c r="E147" s="101"/>
    </row>
    <row r="148" spans="2:5" x14ac:dyDescent="0.2">
      <c r="B148" s="100"/>
      <c r="C148" s="101"/>
      <c r="D148" s="2"/>
      <c r="E148" s="101"/>
    </row>
    <row r="149" spans="2:5" x14ac:dyDescent="0.2">
      <c r="B149" s="100"/>
      <c r="C149" s="101"/>
      <c r="D149" s="2"/>
      <c r="E149" s="101"/>
    </row>
    <row r="150" spans="2:5" x14ac:dyDescent="0.2">
      <c r="B150" s="100"/>
      <c r="C150" s="101"/>
      <c r="D150" s="2"/>
      <c r="E150" s="101"/>
    </row>
    <row r="151" spans="2:5" x14ac:dyDescent="0.2">
      <c r="B151" s="100"/>
      <c r="C151" s="101"/>
      <c r="D151" s="2"/>
      <c r="E151" s="101"/>
    </row>
    <row r="152" spans="2:5" x14ac:dyDescent="0.2">
      <c r="B152" s="100"/>
      <c r="C152" s="101"/>
      <c r="D152" s="2"/>
      <c r="E152" s="101"/>
    </row>
    <row r="153" spans="2:5" x14ac:dyDescent="0.2">
      <c r="B153" s="100"/>
      <c r="C153" s="101"/>
      <c r="D153" s="2"/>
      <c r="E153" s="101"/>
    </row>
    <row r="154" spans="2:5" x14ac:dyDescent="0.2">
      <c r="B154" s="100"/>
      <c r="C154" s="101"/>
      <c r="D154" s="2"/>
      <c r="E154" s="101"/>
    </row>
    <row r="155" spans="2:5" x14ac:dyDescent="0.2">
      <c r="B155" s="100"/>
      <c r="C155" s="101"/>
      <c r="D155" s="2"/>
      <c r="E155" s="101"/>
    </row>
    <row r="156" spans="2:5" x14ac:dyDescent="0.2">
      <c r="B156" s="100"/>
      <c r="C156" s="101"/>
      <c r="D156" s="2"/>
      <c r="E156" s="101"/>
    </row>
    <row r="157" spans="2:5" x14ac:dyDescent="0.2">
      <c r="B157" s="100"/>
      <c r="C157" s="101"/>
      <c r="D157" s="2"/>
      <c r="E157" s="101"/>
    </row>
    <row r="158" spans="2:5" x14ac:dyDescent="0.2">
      <c r="B158" s="100"/>
      <c r="C158" s="101"/>
      <c r="D158" s="2"/>
      <c r="E158" s="101"/>
    </row>
    <row r="159" spans="2:5" x14ac:dyDescent="0.2">
      <c r="B159" s="107"/>
    </row>
    <row r="160" spans="2:5" x14ac:dyDescent="0.2">
      <c r="B160" s="107"/>
    </row>
    <row r="161" spans="2:2" x14ac:dyDescent="0.2">
      <c r="B161" s="107"/>
    </row>
    <row r="162" spans="2:2" x14ac:dyDescent="0.2">
      <c r="B162" s="107"/>
    </row>
    <row r="163" spans="2:2" x14ac:dyDescent="0.2">
      <c r="B163" s="107"/>
    </row>
    <row r="164" spans="2:2" x14ac:dyDescent="0.2">
      <c r="B164" s="107"/>
    </row>
    <row r="165" spans="2:2" x14ac:dyDescent="0.2">
      <c r="B165" s="107"/>
    </row>
    <row r="166" spans="2:2" x14ac:dyDescent="0.2">
      <c r="B166" s="107"/>
    </row>
    <row r="167" spans="2:2" x14ac:dyDescent="0.2">
      <c r="B167" s="107"/>
    </row>
    <row r="168" spans="2:2" x14ac:dyDescent="0.2">
      <c r="B168" s="107"/>
    </row>
    <row r="169" spans="2:2" x14ac:dyDescent="0.2">
      <c r="B169" s="107"/>
    </row>
    <row r="170" spans="2:2" x14ac:dyDescent="0.2">
      <c r="B170" s="107"/>
    </row>
    <row r="171" spans="2:2" x14ac:dyDescent="0.2">
      <c r="B171" s="107"/>
    </row>
    <row r="172" spans="2:2" x14ac:dyDescent="0.2">
      <c r="B172" s="107"/>
    </row>
    <row r="173" spans="2:2" x14ac:dyDescent="0.2">
      <c r="B173" s="107"/>
    </row>
    <row r="174" spans="2:2" x14ac:dyDescent="0.2">
      <c r="B174" s="107"/>
    </row>
    <row r="175" spans="2:2" x14ac:dyDescent="0.2">
      <c r="B175" s="107"/>
    </row>
    <row r="176" spans="2:2" x14ac:dyDescent="0.2">
      <c r="B176" s="107"/>
    </row>
    <row r="177" spans="2:2" x14ac:dyDescent="0.2">
      <c r="B177" s="107"/>
    </row>
    <row r="178" spans="2:2" x14ac:dyDescent="0.2">
      <c r="B178" s="107"/>
    </row>
    <row r="179" spans="2:2" x14ac:dyDescent="0.2">
      <c r="B179" s="107"/>
    </row>
    <row r="180" spans="2:2" x14ac:dyDescent="0.2">
      <c r="B180" s="107"/>
    </row>
    <row r="181" spans="2:2" x14ac:dyDescent="0.2">
      <c r="B181" s="107"/>
    </row>
    <row r="182" spans="2:2" x14ac:dyDescent="0.2">
      <c r="B182" s="107"/>
    </row>
    <row r="183" spans="2:2" x14ac:dyDescent="0.2">
      <c r="B183" s="107"/>
    </row>
    <row r="184" spans="2:2" x14ac:dyDescent="0.2">
      <c r="B184" s="107"/>
    </row>
    <row r="185" spans="2:2" x14ac:dyDescent="0.2">
      <c r="B185" s="107"/>
    </row>
    <row r="186" spans="2:2" x14ac:dyDescent="0.2">
      <c r="B186" s="107"/>
    </row>
    <row r="187" spans="2:2" x14ac:dyDescent="0.2">
      <c r="B187" s="107"/>
    </row>
    <row r="188" spans="2:2" x14ac:dyDescent="0.2">
      <c r="B188" s="107"/>
    </row>
    <row r="189" spans="2:2" x14ac:dyDescent="0.2">
      <c r="B189" s="107"/>
    </row>
    <row r="190" spans="2:2" x14ac:dyDescent="0.2">
      <c r="B190" s="107"/>
    </row>
    <row r="191" spans="2:2" x14ac:dyDescent="0.2">
      <c r="B191" s="107"/>
    </row>
    <row r="192" spans="2:2" x14ac:dyDescent="0.2">
      <c r="B192" s="107"/>
    </row>
    <row r="193" spans="2:2" x14ac:dyDescent="0.2">
      <c r="B193" s="107"/>
    </row>
    <row r="194" spans="2:2" x14ac:dyDescent="0.2">
      <c r="B194" s="107"/>
    </row>
    <row r="195" spans="2:2" x14ac:dyDescent="0.2">
      <c r="B195" s="107"/>
    </row>
    <row r="196" spans="2:2" x14ac:dyDescent="0.2">
      <c r="B196" s="107"/>
    </row>
    <row r="197" spans="2:2" x14ac:dyDescent="0.2">
      <c r="B197" s="107"/>
    </row>
    <row r="198" spans="2:2" x14ac:dyDescent="0.2">
      <c r="B198" s="107"/>
    </row>
    <row r="199" spans="2:2" x14ac:dyDescent="0.2">
      <c r="B199" s="107"/>
    </row>
    <row r="200" spans="2:2" x14ac:dyDescent="0.2">
      <c r="B200" s="107"/>
    </row>
    <row r="201" spans="2:2" x14ac:dyDescent="0.2">
      <c r="B201" s="107"/>
    </row>
    <row r="202" spans="2:2" x14ac:dyDescent="0.2">
      <c r="B202" s="107"/>
    </row>
    <row r="203" spans="2:2" x14ac:dyDescent="0.2">
      <c r="B203" s="107"/>
    </row>
    <row r="204" spans="2:2" x14ac:dyDescent="0.2">
      <c r="B204" s="107"/>
    </row>
    <row r="205" spans="2:2" x14ac:dyDescent="0.2">
      <c r="B205" s="107"/>
    </row>
    <row r="206" spans="2:2" x14ac:dyDescent="0.2">
      <c r="B206" s="107"/>
    </row>
    <row r="207" spans="2:2" x14ac:dyDescent="0.2">
      <c r="B207" s="107"/>
    </row>
    <row r="208" spans="2:2" x14ac:dyDescent="0.2">
      <c r="B208" s="107"/>
    </row>
    <row r="209" spans="2:2" x14ac:dyDescent="0.2">
      <c r="B209" s="107"/>
    </row>
    <row r="210" spans="2:2" x14ac:dyDescent="0.2">
      <c r="B210" s="107"/>
    </row>
    <row r="211" spans="2:2" x14ac:dyDescent="0.2">
      <c r="B211" s="107"/>
    </row>
    <row r="212" spans="2:2" x14ac:dyDescent="0.2">
      <c r="B212" s="107"/>
    </row>
    <row r="213" spans="2:2" x14ac:dyDescent="0.2">
      <c r="B213" s="107"/>
    </row>
    <row r="214" spans="2:2" x14ac:dyDescent="0.2">
      <c r="B214" s="107"/>
    </row>
    <row r="215" spans="2:2" x14ac:dyDescent="0.2">
      <c r="B215" s="107"/>
    </row>
    <row r="216" spans="2:2" x14ac:dyDescent="0.2">
      <c r="B216" s="107"/>
    </row>
    <row r="217" spans="2:2" x14ac:dyDescent="0.2">
      <c r="B217" s="107"/>
    </row>
    <row r="218" spans="2:2" x14ac:dyDescent="0.2">
      <c r="B218" s="107"/>
    </row>
    <row r="219" spans="2:2" x14ac:dyDescent="0.2">
      <c r="B219" s="107"/>
    </row>
    <row r="220" spans="2:2" x14ac:dyDescent="0.2">
      <c r="B220" s="107"/>
    </row>
    <row r="221" spans="2:2" x14ac:dyDescent="0.2">
      <c r="B221" s="107"/>
    </row>
    <row r="222" spans="2:2" x14ac:dyDescent="0.2">
      <c r="B222" s="107"/>
    </row>
    <row r="223" spans="2:2" x14ac:dyDescent="0.2">
      <c r="B223" s="107"/>
    </row>
    <row r="224" spans="2:2" x14ac:dyDescent="0.2">
      <c r="B224" s="107"/>
    </row>
    <row r="225" spans="2:2" x14ac:dyDescent="0.2">
      <c r="B225" s="107"/>
    </row>
    <row r="226" spans="2:2" x14ac:dyDescent="0.2">
      <c r="B226" s="107"/>
    </row>
    <row r="227" spans="2:2" x14ac:dyDescent="0.2">
      <c r="B227" s="107"/>
    </row>
    <row r="228" spans="2:2" x14ac:dyDescent="0.2">
      <c r="B228" s="107"/>
    </row>
    <row r="229" spans="2:2" x14ac:dyDescent="0.2">
      <c r="B229" s="107"/>
    </row>
    <row r="230" spans="2:2" x14ac:dyDescent="0.2">
      <c r="B230" s="107"/>
    </row>
    <row r="231" spans="2:2" x14ac:dyDescent="0.2">
      <c r="B231" s="107"/>
    </row>
    <row r="232" spans="2:2" x14ac:dyDescent="0.2">
      <c r="B232" s="107"/>
    </row>
    <row r="233" spans="2:2" x14ac:dyDescent="0.2">
      <c r="B233" s="107"/>
    </row>
    <row r="234" spans="2:2" x14ac:dyDescent="0.2">
      <c r="B234" s="107"/>
    </row>
    <row r="235" spans="2:2" x14ac:dyDescent="0.2">
      <c r="B235" s="107"/>
    </row>
    <row r="236" spans="2:2" x14ac:dyDescent="0.2">
      <c r="B236" s="107"/>
    </row>
    <row r="237" spans="2:2" x14ac:dyDescent="0.2">
      <c r="B237" s="107"/>
    </row>
    <row r="238" spans="2:2" x14ac:dyDescent="0.2">
      <c r="B238" s="107"/>
    </row>
    <row r="239" spans="2:2" x14ac:dyDescent="0.2">
      <c r="B239" s="107"/>
    </row>
    <row r="240" spans="2:2" x14ac:dyDescent="0.2">
      <c r="B240" s="107"/>
    </row>
    <row r="241" spans="2:2" x14ac:dyDescent="0.2">
      <c r="B241" s="107"/>
    </row>
    <row r="242" spans="2:2" x14ac:dyDescent="0.2">
      <c r="B242" s="107"/>
    </row>
    <row r="243" spans="2:2" x14ac:dyDescent="0.2">
      <c r="B243" s="107"/>
    </row>
    <row r="244" spans="2:2" x14ac:dyDescent="0.2">
      <c r="B244" s="107"/>
    </row>
    <row r="245" spans="2:2" x14ac:dyDescent="0.2">
      <c r="B245" s="107"/>
    </row>
    <row r="246" spans="2:2" x14ac:dyDescent="0.2">
      <c r="B246" s="107"/>
    </row>
    <row r="247" spans="2:2" x14ac:dyDescent="0.2">
      <c r="B247" s="107"/>
    </row>
    <row r="248" spans="2:2" x14ac:dyDescent="0.2">
      <c r="B248" s="107"/>
    </row>
    <row r="249" spans="2:2" x14ac:dyDescent="0.2">
      <c r="B249" s="107"/>
    </row>
    <row r="250" spans="2:2" x14ac:dyDescent="0.2">
      <c r="B250" s="107"/>
    </row>
    <row r="251" spans="2:2" x14ac:dyDescent="0.2">
      <c r="B251" s="107"/>
    </row>
    <row r="252" spans="2:2" x14ac:dyDescent="0.2">
      <c r="B252" s="107"/>
    </row>
    <row r="253" spans="2:2" x14ac:dyDescent="0.2">
      <c r="B253" s="107"/>
    </row>
    <row r="254" spans="2:2" x14ac:dyDescent="0.2">
      <c r="B254" s="107"/>
    </row>
    <row r="255" spans="2:2" x14ac:dyDescent="0.2">
      <c r="B255" s="107"/>
    </row>
    <row r="256" spans="2:2" x14ac:dyDescent="0.2">
      <c r="B256" s="107"/>
    </row>
    <row r="257" spans="2:2" x14ac:dyDescent="0.2">
      <c r="B257" s="107"/>
    </row>
    <row r="258" spans="2:2" x14ac:dyDescent="0.2">
      <c r="B258" s="107"/>
    </row>
    <row r="259" spans="2:2" x14ac:dyDescent="0.2">
      <c r="B259" s="107"/>
    </row>
    <row r="260" spans="2:2" x14ac:dyDescent="0.2">
      <c r="B260" s="107"/>
    </row>
    <row r="261" spans="2:2" x14ac:dyDescent="0.2">
      <c r="B261" s="107"/>
    </row>
    <row r="262" spans="2:2" x14ac:dyDescent="0.2">
      <c r="B262" s="107"/>
    </row>
    <row r="263" spans="2:2" x14ac:dyDescent="0.2">
      <c r="B263" s="107"/>
    </row>
    <row r="264" spans="2:2" x14ac:dyDescent="0.2">
      <c r="B264" s="107"/>
    </row>
    <row r="265" spans="2:2" x14ac:dyDescent="0.2">
      <c r="B265" s="107"/>
    </row>
    <row r="266" spans="2:2" x14ac:dyDescent="0.2">
      <c r="B266" s="107"/>
    </row>
    <row r="267" spans="2:2" x14ac:dyDescent="0.2">
      <c r="B267" s="107"/>
    </row>
    <row r="268" spans="2:2" x14ac:dyDescent="0.2">
      <c r="B268" s="107"/>
    </row>
    <row r="269" spans="2:2" x14ac:dyDescent="0.2">
      <c r="B269" s="107"/>
    </row>
    <row r="270" spans="2:2" x14ac:dyDescent="0.2">
      <c r="B270" s="107"/>
    </row>
    <row r="271" spans="2:2" x14ac:dyDescent="0.2">
      <c r="B271" s="107"/>
    </row>
    <row r="272" spans="2:2" x14ac:dyDescent="0.2">
      <c r="B272" s="107"/>
    </row>
    <row r="273" spans="2:2" x14ac:dyDescent="0.2">
      <c r="B273" s="107"/>
    </row>
    <row r="274" spans="2:2" x14ac:dyDescent="0.2">
      <c r="B274" s="107"/>
    </row>
    <row r="275" spans="2:2" x14ac:dyDescent="0.2">
      <c r="B275" s="107"/>
    </row>
    <row r="276" spans="2:2" x14ac:dyDescent="0.2">
      <c r="B276" s="107"/>
    </row>
    <row r="277" spans="2:2" x14ac:dyDescent="0.2">
      <c r="B277" s="107"/>
    </row>
    <row r="278" spans="2:2" x14ac:dyDescent="0.2">
      <c r="B278" s="107"/>
    </row>
    <row r="279" spans="2:2" x14ac:dyDescent="0.2">
      <c r="B279" s="107"/>
    </row>
    <row r="280" spans="2:2" x14ac:dyDescent="0.2">
      <c r="B280" s="107"/>
    </row>
    <row r="281" spans="2:2" x14ac:dyDescent="0.2">
      <c r="B281" s="107"/>
    </row>
    <row r="282" spans="2:2" x14ac:dyDescent="0.2">
      <c r="B282" s="107"/>
    </row>
    <row r="283" spans="2:2" x14ac:dyDescent="0.2">
      <c r="B283" s="107"/>
    </row>
    <row r="284" spans="2:2" x14ac:dyDescent="0.2">
      <c r="B284" s="107"/>
    </row>
    <row r="285" spans="2:2" x14ac:dyDescent="0.2">
      <c r="B285" s="107"/>
    </row>
    <row r="286" spans="2:2" x14ac:dyDescent="0.2">
      <c r="B286" s="107"/>
    </row>
    <row r="287" spans="2:2" x14ac:dyDescent="0.2">
      <c r="B287" s="107"/>
    </row>
    <row r="288" spans="2:2" x14ac:dyDescent="0.2">
      <c r="B288" s="107"/>
    </row>
    <row r="289" spans="2:2" x14ac:dyDescent="0.2">
      <c r="B289" s="107"/>
    </row>
  </sheetData>
  <mergeCells count="16">
    <mergeCell ref="A6:A7"/>
    <mergeCell ref="B6:B7"/>
    <mergeCell ref="C6:C7"/>
    <mergeCell ref="D6:E6"/>
    <mergeCell ref="F6:F7"/>
    <mergeCell ref="G6:G7"/>
    <mergeCell ref="D9:G9"/>
    <mergeCell ref="C67:D67"/>
    <mergeCell ref="C77:E77"/>
    <mergeCell ref="D78:G78"/>
    <mergeCell ref="C128:E128"/>
    <mergeCell ref="F129:G129"/>
    <mergeCell ref="F130:G130"/>
    <mergeCell ref="F131:G131"/>
    <mergeCell ref="C124:D124"/>
    <mergeCell ref="C127:E127"/>
  </mergeCells>
  <pageMargins left="0.94513888888888897" right="0.51180555555555596" top="0.59027777777777801" bottom="0.51180555555555596" header="0.511811023622047" footer="0.511811023622047"/>
  <pageSetup paperSize="9" scale="92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KO-KOLEJOWA</vt:lpstr>
      <vt:lpstr>'KO-KOLEJOWA'!Obszar_wydruku</vt:lpstr>
      <vt:lpstr>'KO-KOLEJOWA'!Print_Area_0_0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dc:description>03.2006</dc:description>
  <cp:lastModifiedBy>Marcin Marciniak</cp:lastModifiedBy>
  <cp:revision>71</cp:revision>
  <cp:lastPrinted>2023-12-19T22:46:18Z</cp:lastPrinted>
  <dcterms:created xsi:type="dcterms:W3CDTF">2003-08-30T15:25:40Z</dcterms:created>
  <dcterms:modified xsi:type="dcterms:W3CDTF">2024-02-13T06:39:03Z</dcterms:modified>
  <dc:language>pl-PL</dc:language>
</cp:coreProperties>
</file>