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5"/>
  </bookViews>
  <sheets>
    <sheet name="ZZK " sheetId="1" r:id="rId1"/>
    <sheet name="TES" sheetId="2" r:id="rId2"/>
    <sheet name="1. Drogi  - E1" sheetId="3" r:id="rId3"/>
    <sheet name="2. Drogi - E2" sheetId="4" r:id="rId4"/>
    <sheet name="3. KD - E1" sheetId="5" r:id="rId5"/>
    <sheet name="3. KD - E2" sheetId="6" r:id="rId6"/>
  </sheets>
  <definedNames>
    <definedName name="_xlnm.Print_Area" localSheetId="2">'1. Drogi  - E1'!$B$3:$H$48</definedName>
    <definedName name="_xlnm.Print_Area" localSheetId="3">'2. Drogi - E2'!$B$3:$H$47</definedName>
    <definedName name="_xlnm.Print_Area" localSheetId="4">'3. KD - E1'!$B$1:$H$33</definedName>
    <definedName name="_xlnm.Print_Area" localSheetId="5">'3. KD - E2'!$B$1:$H$30</definedName>
    <definedName name="_xlnm.Print_Area" localSheetId="1">'TES'!$B$1:$D$40</definedName>
    <definedName name="_xlnm.Print_Area" localSheetId="0">'ZZK '!$B$3:$D$23</definedName>
  </definedNames>
  <calcPr fullCalcOnLoad="1"/>
</workbook>
</file>

<file path=xl/sharedStrings.xml><?xml version="1.0" encoding="utf-8"?>
<sst xmlns="http://schemas.openxmlformats.org/spreadsheetml/2006/main" count="514" uniqueCount="187">
  <si>
    <t>I.</t>
  </si>
  <si>
    <t>lp.</t>
  </si>
  <si>
    <t>opis robót</t>
  </si>
  <si>
    <t>j. m.</t>
  </si>
  <si>
    <t>ilość</t>
  </si>
  <si>
    <t>cena jedn.</t>
  </si>
  <si>
    <t>Wartość</t>
  </si>
  <si>
    <t>km</t>
  </si>
  <si>
    <t>m2</t>
  </si>
  <si>
    <t>m</t>
  </si>
  <si>
    <t>szt.</t>
  </si>
  <si>
    <t>RAZEM NETTO:</t>
  </si>
  <si>
    <t>II.</t>
  </si>
  <si>
    <t>III.</t>
  </si>
  <si>
    <t>Podatek VAT</t>
  </si>
  <si>
    <t>ROBOTY PRZYGOTOWAWCZE</t>
  </si>
  <si>
    <t>kpl</t>
  </si>
  <si>
    <t>IV.</t>
  </si>
  <si>
    <t>ELEMENTY ULIC</t>
  </si>
  <si>
    <t>V.</t>
  </si>
  <si>
    <t>ROBOTY WYKOŃCZENIOWE</t>
  </si>
  <si>
    <t>D 01.01.01</t>
  </si>
  <si>
    <t>D 01.01.04</t>
  </si>
  <si>
    <t>ROBOTY ZIEMNE</t>
  </si>
  <si>
    <t>D 05.03.23</t>
  </si>
  <si>
    <t>szt</t>
  </si>
  <si>
    <t>m3</t>
  </si>
  <si>
    <t>PODBUDOWY</t>
  </si>
  <si>
    <t>NAWIERZCHNIE</t>
  </si>
  <si>
    <t>D 02.01.01,
D 04.01.01</t>
  </si>
  <si>
    <t>D 07.02.01</t>
  </si>
  <si>
    <t>D 06.03.01</t>
  </si>
  <si>
    <t>D 02.01.01,</t>
  </si>
  <si>
    <t>D.01.01.03</t>
  </si>
  <si>
    <t>Regulacja zaworów wodociągowych i innych</t>
  </si>
  <si>
    <t xml:space="preserve">Zdjęcie warstwy humusu do 15cm z wywozem nadmiaru i utylizacją </t>
  </si>
  <si>
    <t>VI.</t>
  </si>
  <si>
    <t>Wywóz nadmiaru gruntu na składowisko wykonawcy</t>
  </si>
  <si>
    <t>Oznakowanie poziome cienkowarstwowe</t>
  </si>
  <si>
    <t>D.03.02.01</t>
  </si>
  <si>
    <t>D 04.05.01</t>
  </si>
  <si>
    <t>D 04.06.02</t>
  </si>
  <si>
    <t>D 07.01.01</t>
  </si>
  <si>
    <t>Wyplantowanie terenów zielonych i nawiezienie warstwy humusu o gr. 15 z obsianiem trawą (w przypadku niedoboru uwzględnić zakup)</t>
  </si>
  <si>
    <t>Roboty pomiarowe</t>
  </si>
  <si>
    <t>ZBIORCZE ZESTAWIENIE KOSZTORYSÓW</t>
  </si>
  <si>
    <t>RAZEM NETTO</t>
  </si>
  <si>
    <t>RAZEM BRUTTO</t>
  </si>
  <si>
    <t>TABELA ELEMENTÓW SCALONYCH</t>
  </si>
  <si>
    <t>lp</t>
  </si>
  <si>
    <t>branża / rodzaj robót / kod CPV</t>
  </si>
  <si>
    <t>Wartość [zł]</t>
  </si>
  <si>
    <t>Roboty przygotowawcze i rozbiórkowe CPV 45100000-8</t>
  </si>
  <si>
    <t>Roboty ziemne CPV 45111000-8</t>
  </si>
  <si>
    <t>Podbudowy CPV 45233000-9</t>
  </si>
  <si>
    <t>Nawierzchnie CPV 45233000-9</t>
  </si>
  <si>
    <t>Elementy ulic CPV 45233000-9</t>
  </si>
  <si>
    <t>Oznakowanie CPV 45233290-8</t>
  </si>
  <si>
    <t>Roboty wykończeniowe CPV 45400000-1</t>
  </si>
  <si>
    <t>Roboty ziemne  CPV 45111000-8</t>
  </si>
  <si>
    <t>Rurociągi CPV 45230000-8</t>
  </si>
  <si>
    <t>Studnie CPV 45230000-8</t>
  </si>
  <si>
    <t>Inne uzbrojenia CPV 45111000-8</t>
  </si>
  <si>
    <t>Podatek VAT - 23%</t>
  </si>
  <si>
    <t>nr SST</t>
  </si>
  <si>
    <t>opis pozycji i obliczenie</t>
  </si>
  <si>
    <t>J.m.</t>
  </si>
  <si>
    <t>Wywóz nadmiaru gruntu na odkład</t>
  </si>
  <si>
    <t>Przekraczanie kolizji (woda, ks, enn, gaz) (przyjęto orientacyjnie po analizie mapy zasadniczej)</t>
  </si>
  <si>
    <t>Podwieszenie istniejących uzbrojeń</t>
  </si>
  <si>
    <t>OZNAKOWANIE</t>
  </si>
  <si>
    <t>I</t>
  </si>
  <si>
    <t>II</t>
  </si>
  <si>
    <t>III</t>
  </si>
  <si>
    <t>IV</t>
  </si>
  <si>
    <t>VI</t>
  </si>
  <si>
    <t>VII</t>
  </si>
  <si>
    <t>VIII</t>
  </si>
  <si>
    <t>RUROCIĄGI</t>
  </si>
  <si>
    <t xml:space="preserve">V </t>
  </si>
  <si>
    <t>Roboty pomiarowe CPV 45100000-8</t>
  </si>
  <si>
    <t>Wykonanie wykopów pod kanały i studnie,  (30% ręcznie) z wywozem urobku na plac składowy i utylizacją nadmiaru gruntu.</t>
  </si>
  <si>
    <t>Szalowanie ścian wykopów pod kanały</t>
  </si>
  <si>
    <t>Podłoża pod rurociągi, gr. 20cm, grunt piaszczysty z dokopu</t>
  </si>
  <si>
    <t xml:space="preserve">Obsypka rurociągów do 30cm nad rurę, grunt piaszczysty z dokopu </t>
  </si>
  <si>
    <t>Zasypanie wykopów do poziomu terenu góry robót ziemnych</t>
  </si>
  <si>
    <t>Odwodnienie wykopów</t>
  </si>
  <si>
    <t>dni</t>
  </si>
  <si>
    <t>V</t>
  </si>
  <si>
    <t>Warstwa wiążąca z betonu asfaltowego AC16W KR1-2 gr. 5cm
- Kościelna - 580m2
- Żniwna - 610m2</t>
  </si>
  <si>
    <t>Nawierzchnia z kostki granitowej 15/17 na podsypce cem. piask o gr. min. 5cm, spoiny wypełnione zaprawą na bazie żywic epoksydowych</t>
  </si>
  <si>
    <t>Przebudowa ulicy Kościelnej i części ulicy Żniwnej 
w m. Ostroróg</t>
  </si>
  <si>
    <t xml:space="preserve">Przebudowa ulicy Kościelnej i części ulicy Żniwnej 
w m. Ostroróg </t>
  </si>
  <si>
    <t>BRANŻA: ROBOTY DROGOWE - ETAP I</t>
  </si>
  <si>
    <t>BRANŻA: ROBOTY DROGOWE - ETAP II</t>
  </si>
  <si>
    <t>BRANŻA: KANALIZACJA DESZCZOWA -  ETAP I</t>
  </si>
  <si>
    <t>BRANŻA: KANALIZACJA DESZCZOWA -  ETAP II</t>
  </si>
  <si>
    <t>D 05.03.01</t>
  </si>
  <si>
    <t>D 05.03.05b</t>
  </si>
  <si>
    <t>D 05.03.05a</t>
  </si>
  <si>
    <t>Oczyszczenie i skropienie warstw konstrukcyjnych</t>
  </si>
  <si>
    <t>D 04.03.01</t>
  </si>
  <si>
    <t>Nawierzchnia jezdni z kostki szarej typ "EPOKA" grubości 8cm na podsypce cem. piask. gr 4cm
- Żniwna - 290m2</t>
  </si>
  <si>
    <t>Nawierzchnia zabruków z kamienia polnego gr. śr 15 cm na podsypce cemnetowo - piaskowej</t>
  </si>
  <si>
    <t>D 08.04.01</t>
  </si>
  <si>
    <t>D 08.04.02</t>
  </si>
  <si>
    <t>Krawężniki betonowe najazdowe 15x22 na ławie z betonu C12/15 z oporem (0,08m3/m) (wyniesione na 6cm)
- ul. Kościelna - 54m
- ul. Żniwna - 137mb</t>
  </si>
  <si>
    <t>Oporniki betonowe 12x25 na ławie z betonu C12/15 z oporem (0,06m3/mb)
- ul. Kościelna - 53m
- ul. Żniwna - 134mb</t>
  </si>
  <si>
    <t>D 08.05.01</t>
  </si>
  <si>
    <t>Regulacja studni ks i kd</t>
  </si>
  <si>
    <t>D 04.04.01</t>
  </si>
  <si>
    <t>Warstwa podbudowy betonowej  z chudego betonu (6-9MPa) o grubości 16cm
- Kościelna - jezdnie - 330m2
- Kościelna - chodniki +zjazdy +pobocza utwardzone - 440m2,
- Kościelna - zabruki - 350m2 
- Żniwna - jezdnie - 290m2,
- Żniwna - chodniki i zjazdy - 280m2</t>
  </si>
  <si>
    <t>Roboty pomiarowe
- Kościelna - 201,09m
- Żniwna E1 - 166,78m</t>
  </si>
  <si>
    <t>Warstwa z mieszanki niezwiązanej - kruszywo łamane 0/31,5 o gr. 20cm
- Kościelna - 590m2
- Żniwna - 610m2</t>
  </si>
  <si>
    <t>Warstwa z mieszanki związanej spoiwem hydraulicznym C1,5/2 o grubości 10cm
- Kościelna - jezdnie - 330m2 + 590m2 + 200 x 0,7 = 1 060m2
- Kościelna - pobocza utwardzone - 90m2,
- Żniwna - jezdnie - 290m2 + 610m2 + 166 x 0,70 = 1016m2,</t>
  </si>
  <si>
    <t>VII.</t>
  </si>
  <si>
    <t>Rozbiórka nawierzchni jezdni z kostki kamiennej gr 10cm wraz z podbudową  - gr. 15cm. Odwóz oczyszczonej kostki na składowisko Inwestora</t>
  </si>
  <si>
    <t>Rozbiórka nawierzchni jezdni bitumicznej  wraz z podbudową  - gr. 15cm. Odwóz materiału z rozbiórki na składowisko Wykonawcy</t>
  </si>
  <si>
    <t>Rozbiórka nawierzchni chodników z płytek wraz z odwozem na składowisko Wykonawcy</t>
  </si>
  <si>
    <t>mb</t>
  </si>
  <si>
    <t>Koryto pod konstrukcję jezdni - dokorytowanie do średnio 45 cm wraz z profilowaniem i zagęszczeniem</t>
  </si>
  <si>
    <t>Koryto pod konstrukcję chodnikow i zjazdów  na gł. śr. 25cm</t>
  </si>
  <si>
    <t>Koryto pod konstrukcję zabruków   na gł. śr. 30cm</t>
  </si>
  <si>
    <t>Roboty pomiarowe
- Żniwna E2 - 263,45m</t>
  </si>
  <si>
    <t>Oznakowanie pionowe - znaki małe na słupkach</t>
  </si>
  <si>
    <t>Ściek płytowy półokrągły o szerokości 40cm (wklęsłość do 3cm) na ławie z C12/15 (0,08m3/mb)
- Żniwna - 92mb</t>
  </si>
  <si>
    <t>Obrzeża betonowe 8x30 na ławie betonowej C12/15
- Żniwna - 186mb</t>
  </si>
  <si>
    <t>Oporniki betonowe 12x25 na ławie z betonu C12/15 z oporem (0,06m3/mb)
- ul. Żniwna - 220mb</t>
  </si>
  <si>
    <t>Krawężniki betonowe najazdowe 15x22 na ławie z betonu C12/15 z oporem (0,08m3/m) (wyniesione na 6cm)
- ul. Żniwna - 282mb</t>
  </si>
  <si>
    <t>Krawężniki betonowe najazdowe 15x22 na ławie z betonu C12/15 z oporem (0,08m3/m) (obniżone)
- ul. Żniwna - 165mb</t>
  </si>
  <si>
    <t>Nawierzchnia jezdni z kostki szarej typ "EPOKA" grubości 8cm na podsypce cem. piask. gr 4cm
- Żniwna - 480m2</t>
  </si>
  <si>
    <t>Nawierzchnia chodników z kostki grafitowej typ "EPOKA" grubości 8cm na podsypce cem. piask. gr 4cm
- Żniwna - 485m2</t>
  </si>
  <si>
    <t>Warstwa wiążąca z betonu asfaltowego AC16W KR1-2 gr. 5cm
- Żniwna - 870m2</t>
  </si>
  <si>
    <t>Warstwa ścierlana z betonu asfaltowego AC8S KR1-2 gr. 4cm
- Żniwna - 870m2</t>
  </si>
  <si>
    <t>Warstwa podbudowy betonowej  z chudego betonu (6-9MPa) o grubości 16cm
- Żniwna - jezdnie - 480m2,
- Żniwna - chodniki i zjazdy - 485m
- Żniwna - zabruki - 83m2</t>
  </si>
  <si>
    <t>Warstwa z mieszanki niezwiązanej - kruszywo łamane 0/31,5 o gr. 20cm
- Żniwna - 870m2</t>
  </si>
  <si>
    <t>Warstwa z mieszanki związanej spoiwem hydraulicznym C1,5/2 o grubości 10cm
- Żniwna - jezdnie - 870m2 + 480m2 + 260 x 0,7 = 1 532m2
- Żniwna - część chodników - 150m2</t>
  </si>
  <si>
    <t>Rozbiórka nawierzchni jezdni z z gruzu lub kruszywa  - gr. 15cm. Odwóz materiału z rozbiórki na składowisko Wykonawcy</t>
  </si>
  <si>
    <t>ROBOTY DROGOWE ŻNIWNA - ETAP II</t>
  </si>
  <si>
    <t>ROBOTY DROGOWE KOŚCIELNA I ŻNIWNA - ETAP I</t>
  </si>
  <si>
    <t>KANALIZACJA DESZCZOWA - KOŚCIELNA I ŻNIWNA - ETAP I</t>
  </si>
  <si>
    <t>Wykonanie studni z kręgów betonowych o średnicy 1000mm na fundamencie z C8/10 o gr. 20cm zwieńczonych włazem żeliwnym D400  wraz z osadnikiem; o wysokości do 2,50m</t>
  </si>
  <si>
    <t>Wykonanie studni z kręgów betonowych o średnicy 1500mm na fundamencie z C8/10 o gr. 20cm zwieńczonych włazem żeliwnym D400  wraz z osadnikiem; o wysokości 2,5m</t>
  </si>
  <si>
    <t>STUDNIE I INNE ELEMENTY KD</t>
  </si>
  <si>
    <t>D.03.02.02</t>
  </si>
  <si>
    <t>Wykonanie prefabrykowanego elementu wylotu do rowu (zgodnie z OWP) o średnicy 500mm</t>
  </si>
  <si>
    <t>Wykonanie osadnika betonowego ze studzienką kontrolną o średnicy 2000mm na fundamencie z C8/10 o wysokości do 3,0m</t>
  </si>
  <si>
    <t xml:space="preserve">Wykonanie studni wpustowych betonowych o średnicy 500mm z osadnikiem i zwieńczonych wpustem żeliwnym zwykłym D400 </t>
  </si>
  <si>
    <t xml:space="preserve">Przykanaliki z rur PVC v PP SN8 o średnicy 200mm </t>
  </si>
  <si>
    <t>Kolektory z rur PVC v PP SN8 o średnicy 400mm</t>
  </si>
  <si>
    <t>Kolektory z rur PVC v PP SN8 o średnicy 500mm</t>
  </si>
  <si>
    <t>ROBOTY INNE</t>
  </si>
  <si>
    <t>D.03.02.00</t>
  </si>
  <si>
    <t>Tymczasowe odtworzenie nawierzchni - 20cm kruszywa +5cm warstwy wiążącej z AC16W</t>
  </si>
  <si>
    <t>Kolektory z rur PVC v PP SN8 o średnicy 315mm</t>
  </si>
  <si>
    <t>KANALIZACJA DESZCZOWA - ŻNIWNA - ETAP II</t>
  </si>
  <si>
    <t xml:space="preserve">Kościelna </t>
  </si>
  <si>
    <t>ZADANIE NR 1</t>
  </si>
  <si>
    <t>ilosć</t>
  </si>
  <si>
    <t>Żniwna</t>
  </si>
  <si>
    <t>ZADANIE NR 2.1</t>
  </si>
  <si>
    <t>Krawężniki betonowe najazdowe 15x22 na ławie z betonu C12/15 z oporem (0,08m3/m) (obniżone)
- ul. Kościelna - 194m
- ul. Żniwna - 112mb</t>
  </si>
  <si>
    <t>Obrzeża betonowe 8x30 na ławie betonowej C12/15
- Kościelna - 241mb
- Żniwna - 153mb</t>
  </si>
  <si>
    <t>Ściek płytowy półokrągły o szerokości 40cm (wklęsłość do 3cm) na ławie z C12/15 (0,08m3/mb)
- Kościelna - 75mb
- Żniwna - 17mm</t>
  </si>
  <si>
    <t>Nawierzchnia chodników, zjazdów i poboczy umocnionych z kostki grafitowej typ "EPOKA" grubości 8cm na podsypce cem. piask. gr 4cm
- Kościelna - 440m2
- Żniwna - 280m2</t>
  </si>
  <si>
    <t>Warstwa ścieralna z betonu asfaltowego AC8S KR1-2 gr. 4cm
- Kościelna - 570m2
- Żniwna - 610m2</t>
  </si>
  <si>
    <t>ZADANIE NR 2.2</t>
  </si>
  <si>
    <t>Kościelna zadanie 1</t>
  </si>
  <si>
    <t>Rozbiórka krawężników lub oporników wraz z ławą betonową i odwozem na składowisko Wykonawcy</t>
  </si>
  <si>
    <t>Rozbiórka krawęzników lub oporników wraz z ławą betonową i odwozem na składowisko Wykonawcy</t>
  </si>
  <si>
    <t>Żniwna zadanie 2.1</t>
  </si>
  <si>
    <t>Kościelna bez dofninasowania</t>
  </si>
  <si>
    <t>Żniwna zadanie 2.2</t>
  </si>
  <si>
    <t>Żniwna bez dofinansowania</t>
  </si>
  <si>
    <t>Wykonanie studni z kręgów betonowych o średnicy 1000mm na fundamencie z C8/10 o gr. 20cm zwieńczonych włazem żeliwnym D400  wraz z osadnikiem; o wysokości 2,5m</t>
  </si>
  <si>
    <t>ROBOTY DROGOWE 
- Kościelna - Zadanie 1</t>
  </si>
  <si>
    <t>ROBOTY DROGOWE 
- Kościelna - bez dofinansowania</t>
  </si>
  <si>
    <t>ROBOTY DROGOWE 
- Żniwna zadanie 2.1</t>
  </si>
  <si>
    <t>ROBOTY DROGOWE 
- Żniwna zadanie 2.2</t>
  </si>
  <si>
    <t>ROBOTY DROGOWE 
- Żniwna bez dofinansowania</t>
  </si>
  <si>
    <t>KANALIZACJA DESZCZOWA 
- Kościelna - Zadanie 1</t>
  </si>
  <si>
    <t>KANALIZACJA DESZCZOWA 
- Kościelna - bez dofinansowania</t>
  </si>
  <si>
    <t>KANALIZACJA DESZCZOWA  
- Żniwna zadanie 2.1</t>
  </si>
  <si>
    <t>KANALIZACJA DESZCZOWA  
- Żniwna zadanie 2.2</t>
  </si>
  <si>
    <t>KANALIZACJA DESZCZOWA 
- Żniwna bez dofinansowania</t>
  </si>
  <si>
    <t>KOSZTORY OFERTOWY</t>
  </si>
  <si>
    <t xml:space="preserve">KOSZTORY OFERTOWY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</si>
</sst>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0"/>
    <numFmt numFmtId="173" formatCode="0.0"/>
    <numFmt numFmtId="174" formatCode="0\+000.00"/>
    <numFmt numFmtId="175" formatCode="#,##0.0000"/>
    <numFmt numFmtId="176" formatCode="#,##0.00000"/>
  </numFmts>
  <fonts count="5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0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indent="1"/>
    </xf>
    <xf numFmtId="4" fontId="0" fillId="0" borderId="15" xfId="0" applyNumberFormat="1" applyFont="1" applyBorder="1" applyAlignment="1">
      <alignment horizontal="right" vertical="center" indent="1"/>
    </xf>
    <xf numFmtId="4" fontId="1" fillId="0" borderId="16" xfId="0" applyNumberFormat="1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wrapText="1" indent="1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 horizontal="right" vertical="center" indent="1"/>
    </xf>
    <xf numFmtId="0" fontId="0" fillId="33" borderId="18" xfId="0" applyFill="1" applyBorder="1" applyAlignment="1">
      <alignment horizontal="right" vertical="center" indent="1"/>
    </xf>
    <xf numFmtId="0" fontId="0" fillId="33" borderId="18" xfId="0" applyFill="1" applyBorder="1" applyAlignment="1">
      <alignment horizontal="left" vertical="center" wrapText="1" indent="1"/>
    </xf>
    <xf numFmtId="0" fontId="0" fillId="33" borderId="18" xfId="0" applyFill="1" applyBorder="1" applyAlignment="1">
      <alignment horizontal="center" vertical="center"/>
    </xf>
    <xf numFmtId="4" fontId="0" fillId="33" borderId="18" xfId="0" applyNumberFormat="1" applyFill="1" applyBorder="1" applyAlignment="1">
      <alignment horizontal="right" vertical="center" indent="1"/>
    </xf>
    <xf numFmtId="4" fontId="1" fillId="33" borderId="18" xfId="0" applyNumberFormat="1" applyFont="1" applyFill="1" applyBorder="1" applyAlignment="1">
      <alignment horizontal="right" vertical="center" indent="1"/>
    </xf>
    <xf numFmtId="0" fontId="1" fillId="0" borderId="14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4" fontId="11" fillId="0" borderId="13" xfId="0" applyNumberFormat="1" applyFont="1" applyBorder="1" applyAlignment="1">
      <alignment horizontal="right" vertical="center" indent="1"/>
    </xf>
    <xf numFmtId="0" fontId="0" fillId="0" borderId="14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4" fontId="11" fillId="0" borderId="15" xfId="0" applyNumberFormat="1" applyFont="1" applyBorder="1" applyAlignment="1">
      <alignment horizontal="right" vertical="center" indent="1"/>
    </xf>
    <xf numFmtId="0" fontId="0" fillId="0" borderId="22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4" fontId="11" fillId="0" borderId="24" xfId="0" applyNumberFormat="1" applyFont="1" applyBorder="1" applyAlignment="1">
      <alignment horizontal="right" vertical="center" indent="1"/>
    </xf>
    <xf numFmtId="0" fontId="0" fillId="0" borderId="11" xfId="0" applyBorder="1" applyAlignment="1">
      <alignment/>
    </xf>
    <xf numFmtId="0" fontId="8" fillId="34" borderId="12" xfId="0" applyFont="1" applyFill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 indent="1"/>
    </xf>
    <xf numFmtId="0" fontId="0" fillId="0" borderId="14" xfId="0" applyBorder="1" applyAlignment="1">
      <alignment/>
    </xf>
    <xf numFmtId="0" fontId="8" fillId="34" borderId="10" xfId="0" applyFont="1" applyFill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 indent="1"/>
    </xf>
    <xf numFmtId="0" fontId="0" fillId="0" borderId="17" xfId="0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10" xfId="0" applyNumberFormat="1" applyFont="1" applyBorder="1" applyAlignment="1">
      <alignment horizontal="left" vertical="center" wrapText="1" indent="1"/>
    </xf>
    <xf numFmtId="4" fontId="14" fillId="0" borderId="10" xfId="0" applyNumberFormat="1" applyFont="1" applyBorder="1" applyAlignment="1">
      <alignment horizontal="right" vertical="center" indent="1"/>
    </xf>
    <xf numFmtId="4" fontId="14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8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 indent="1"/>
    </xf>
    <xf numFmtId="4" fontId="0" fillId="0" borderId="0" xfId="0" applyNumberFormat="1" applyFont="1" applyAlignment="1">
      <alignment horizontal="right" vertical="center" indent="1"/>
    </xf>
    <xf numFmtId="0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right" vertical="center" indent="1"/>
    </xf>
    <xf numFmtId="4" fontId="14" fillId="0" borderId="15" xfId="0" applyNumberFormat="1" applyFont="1" applyBorder="1" applyAlignment="1">
      <alignment horizontal="right" vertical="center" indent="1"/>
    </xf>
    <xf numFmtId="4" fontId="16" fillId="0" borderId="16" xfId="0" applyNumberFormat="1" applyFont="1" applyFill="1" applyBorder="1" applyAlignment="1">
      <alignment horizontal="right" vertical="center" indent="1"/>
    </xf>
    <xf numFmtId="0" fontId="16" fillId="35" borderId="14" xfId="0" applyFont="1" applyFill="1" applyBorder="1" applyAlignment="1">
      <alignment horizontal="right" vertical="center" indent="1"/>
    </xf>
    <xf numFmtId="0" fontId="16" fillId="35" borderId="10" xfId="0" applyFont="1" applyFill="1" applyBorder="1" applyAlignment="1">
      <alignment/>
    </xf>
    <xf numFmtId="2" fontId="16" fillId="35" borderId="10" xfId="0" applyNumberFormat="1" applyFont="1" applyFill="1" applyBorder="1" applyAlignment="1">
      <alignment horizontal="left" vertical="center" wrapText="1" indent="1"/>
    </xf>
    <xf numFmtId="0" fontId="14" fillId="35" borderId="10" xfId="0" applyFont="1" applyFill="1" applyBorder="1" applyAlignment="1">
      <alignment/>
    </xf>
    <xf numFmtId="0" fontId="14" fillId="35" borderId="15" xfId="0" applyFont="1" applyFill="1" applyBorder="1" applyAlignment="1">
      <alignment/>
    </xf>
    <xf numFmtId="2" fontId="16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right" vertical="center" indent="1"/>
    </xf>
    <xf numFmtId="4" fontId="14" fillId="35" borderId="15" xfId="0" applyNumberFormat="1" applyFont="1" applyFill="1" applyBorder="1" applyAlignment="1">
      <alignment horizontal="right" vertical="center" indent="1"/>
    </xf>
    <xf numFmtId="4" fontId="14" fillId="35" borderId="10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/>
    </xf>
    <xf numFmtId="0" fontId="16" fillId="35" borderId="18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2" fontId="16" fillId="35" borderId="18" xfId="0" applyNumberFormat="1" applyFont="1" applyFill="1" applyBorder="1" applyAlignment="1">
      <alignment horizontal="right" vertical="center" indent="1"/>
    </xf>
    <xf numFmtId="0" fontId="8" fillId="36" borderId="19" xfId="0" applyFont="1" applyFill="1" applyBorder="1" applyAlignment="1">
      <alignment horizontal="right" vertical="center" indent="1"/>
    </xf>
    <xf numFmtId="0" fontId="8" fillId="36" borderId="20" xfId="0" applyFont="1" applyFill="1" applyBorder="1" applyAlignment="1">
      <alignment horizontal="left" vertical="center" indent="1"/>
    </xf>
    <xf numFmtId="4" fontId="9" fillId="36" borderId="21" xfId="0" applyNumberFormat="1" applyFont="1" applyFill="1" applyBorder="1" applyAlignment="1">
      <alignment horizontal="right" vertical="center" indent="1"/>
    </xf>
    <xf numFmtId="0" fontId="0" fillId="36" borderId="14" xfId="0" applyFill="1" applyBorder="1" applyAlignment="1">
      <alignment horizontal="right" vertical="center" indent="1"/>
    </xf>
    <xf numFmtId="0" fontId="1" fillId="36" borderId="10" xfId="0" applyFont="1" applyFill="1" applyBorder="1" applyAlignment="1">
      <alignment horizontal="right" vertical="center" wrapText="1" indent="1"/>
    </xf>
    <xf numFmtId="0" fontId="0" fillId="36" borderId="17" xfId="0" applyFill="1" applyBorder="1" applyAlignment="1">
      <alignment horizontal="right" vertical="center" indent="1"/>
    </xf>
    <xf numFmtId="0" fontId="1" fillId="36" borderId="18" xfId="0" applyFont="1" applyFill="1" applyBorder="1" applyAlignment="1">
      <alignment horizontal="right" vertical="center" wrapText="1" indent="1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0" fontId="2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indent="1"/>
    </xf>
    <xf numFmtId="0" fontId="1" fillId="33" borderId="10" xfId="0" applyNumberFormat="1" applyFont="1" applyFill="1" applyBorder="1" applyAlignment="1">
      <alignment horizontal="left" vertical="center" indent="1"/>
    </xf>
    <xf numFmtId="172" fontId="0" fillId="0" borderId="10" xfId="0" applyNumberFormat="1" applyFont="1" applyBorder="1" applyAlignment="1">
      <alignment horizontal="right" vertical="center" indent="1"/>
    </xf>
    <xf numFmtId="0" fontId="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 horizontal="right" vertical="center" indent="1"/>
    </xf>
    <xf numFmtId="4" fontId="0" fillId="0" borderId="15" xfId="0" applyNumberFormat="1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wrapText="1" indent="1"/>
    </xf>
    <xf numFmtId="172" fontId="0" fillId="0" borderId="0" xfId="0" applyNumberFormat="1" applyAlignment="1">
      <alignment/>
    </xf>
    <xf numFmtId="4" fontId="22" fillId="35" borderId="10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 horizontal="right" vertical="center" indent="1"/>
    </xf>
    <xf numFmtId="4" fontId="22" fillId="35" borderId="15" xfId="0" applyNumberFormat="1" applyFont="1" applyFill="1" applyBorder="1" applyAlignment="1">
      <alignment horizontal="right" vertical="center" indent="1"/>
    </xf>
    <xf numFmtId="4" fontId="22" fillId="35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right" vertical="center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indent="1"/>
    </xf>
    <xf numFmtId="4" fontId="57" fillId="0" borderId="10" xfId="0" applyNumberFormat="1" applyFont="1" applyBorder="1" applyAlignment="1">
      <alignment horizontal="right" vertical="center" indent="1"/>
    </xf>
    <xf numFmtId="0" fontId="57" fillId="33" borderId="10" xfId="0" applyFont="1" applyFill="1" applyBorder="1" applyAlignment="1">
      <alignment/>
    </xf>
    <xf numFmtId="4" fontId="0" fillId="0" borderId="15" xfId="0" applyNumberFormat="1" applyFont="1" applyBorder="1" applyAlignment="1">
      <alignment horizontal="right" vertical="center" indent="1"/>
    </xf>
    <xf numFmtId="0" fontId="0" fillId="0" borderId="10" xfId="0" applyFont="1" applyBorder="1" applyAlignment="1">
      <alignment horizontal="left" vertical="center" wrapText="1" indent="1"/>
    </xf>
    <xf numFmtId="172" fontId="57" fillId="0" borderId="10" xfId="0" applyNumberFormat="1" applyFont="1" applyBorder="1" applyAlignment="1">
      <alignment horizontal="right" vertical="center" inden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" fontId="9" fillId="36" borderId="27" xfId="0" applyNumberFormat="1" applyFont="1" applyFill="1" applyBorder="1" applyAlignment="1">
      <alignment horizontal="right" vertical="center" indent="1"/>
    </xf>
    <xf numFmtId="4" fontId="11" fillId="0" borderId="28" xfId="0" applyNumberFormat="1" applyFont="1" applyBorder="1" applyAlignment="1">
      <alignment horizontal="right" vertical="center" indent="1"/>
    </xf>
    <xf numFmtId="4" fontId="11" fillId="0" borderId="29" xfId="0" applyNumberFormat="1" applyFont="1" applyBorder="1" applyAlignment="1">
      <alignment horizontal="right" vertical="center" indent="1"/>
    </xf>
    <xf numFmtId="4" fontId="11" fillId="0" borderId="30" xfId="0" applyNumberFormat="1" applyFont="1" applyBorder="1" applyAlignment="1">
      <alignment horizontal="right" vertical="center" indent="1"/>
    </xf>
    <xf numFmtId="4" fontId="58" fillId="0" borderId="10" xfId="0" applyNumberFormat="1" applyFont="1" applyBorder="1" applyAlignment="1">
      <alignment horizontal="right" vertical="center" indent="1"/>
    </xf>
    <xf numFmtId="0" fontId="58" fillId="35" borderId="10" xfId="0" applyFont="1" applyFill="1" applyBorder="1" applyAlignment="1">
      <alignment/>
    </xf>
    <xf numFmtId="4" fontId="58" fillId="35" borderId="10" xfId="0" applyNumberFormat="1" applyFont="1" applyFill="1" applyBorder="1" applyAlignment="1">
      <alignment horizontal="right" vertical="center" indent="1"/>
    </xf>
    <xf numFmtId="172" fontId="58" fillId="0" borderId="10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4" fontId="1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2" fontId="7" fillId="34" borderId="31" xfId="0" applyNumberFormat="1" applyFont="1" applyFill="1" applyBorder="1" applyAlignment="1">
      <alignment horizontal="center" vertical="center" wrapText="1"/>
    </xf>
    <xf numFmtId="2" fontId="7" fillId="34" borderId="32" xfId="0" applyNumberFormat="1" applyFont="1" applyFill="1" applyBorder="1" applyAlignment="1">
      <alignment horizontal="center" vertical="center" wrapText="1"/>
    </xf>
    <xf numFmtId="2" fontId="7" fillId="34" borderId="3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" fontId="16" fillId="35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3"/>
  <sheetViews>
    <sheetView zoomScalePageLayoutView="0" workbookViewId="0" topLeftCell="A4">
      <selection activeCell="I14" sqref="I14"/>
    </sheetView>
  </sheetViews>
  <sheetFormatPr defaultColWidth="9.00390625" defaultRowHeight="12.75"/>
  <cols>
    <col min="2" max="2" width="7.125" style="0" customWidth="1"/>
    <col min="3" max="3" width="40.125" style="0" customWidth="1"/>
    <col min="4" max="4" width="26.125" style="0" customWidth="1"/>
    <col min="6" max="6" width="23.125" style="0" customWidth="1"/>
    <col min="7" max="7" width="15.625" style="0" customWidth="1"/>
    <col min="9" max="9" width="21.125" style="0" customWidth="1"/>
  </cols>
  <sheetData>
    <row r="3" spans="2:4" ht="58.5" customHeight="1">
      <c r="B3" s="152" t="s">
        <v>91</v>
      </c>
      <c r="C3" s="153"/>
      <c r="D3" s="153"/>
    </row>
    <row r="5" spans="2:4" ht="12.75">
      <c r="B5" s="154" t="s">
        <v>185</v>
      </c>
      <c r="C5" s="154"/>
      <c r="D5" s="154"/>
    </row>
    <row r="7" spans="2:4" ht="15.75">
      <c r="B7" s="155" t="s">
        <v>45</v>
      </c>
      <c r="C7" s="155"/>
      <c r="D7" s="155"/>
    </row>
    <row r="8" spans="6:9" ht="13.5" thickBot="1">
      <c r="F8" s="156"/>
      <c r="G8" s="156"/>
      <c r="I8" s="125"/>
    </row>
    <row r="9" spans="2:6" ht="21.75" customHeight="1" thickTop="1">
      <c r="B9" s="94" t="s">
        <v>1</v>
      </c>
      <c r="C9" s="95" t="s">
        <v>2</v>
      </c>
      <c r="D9" s="96" t="s">
        <v>6</v>
      </c>
      <c r="F9" s="146"/>
    </row>
    <row r="10" spans="2:6" ht="12.75">
      <c r="B10" s="9">
        <v>1</v>
      </c>
      <c r="C10" s="1">
        <v>2</v>
      </c>
      <c r="D10" s="10">
        <v>3</v>
      </c>
      <c r="F10" s="146"/>
    </row>
    <row r="11" spans="2:9" ht="37.5" customHeight="1">
      <c r="B11" s="25">
        <v>1</v>
      </c>
      <c r="C11" s="26" t="s">
        <v>175</v>
      </c>
      <c r="D11" s="100">
        <f>TES!H6</f>
        <v>0</v>
      </c>
      <c r="F11" s="146"/>
      <c r="G11" s="148"/>
      <c r="I11" s="148"/>
    </row>
    <row r="12" spans="2:9" ht="37.5" customHeight="1">
      <c r="B12" s="25">
        <v>2</v>
      </c>
      <c r="C12" s="26" t="s">
        <v>176</v>
      </c>
      <c r="D12" s="100">
        <f>SUM(TES!G6)</f>
        <v>0</v>
      </c>
      <c r="F12" s="146"/>
      <c r="G12" s="149"/>
      <c r="I12" s="149"/>
    </row>
    <row r="13" spans="2:9" ht="37.5" customHeight="1">
      <c r="B13" s="25">
        <v>3</v>
      </c>
      <c r="C13" s="26" t="s">
        <v>177</v>
      </c>
      <c r="D13" s="100">
        <f>TES!I6</f>
        <v>0</v>
      </c>
      <c r="F13" s="146"/>
      <c r="G13" s="148"/>
      <c r="I13" s="148"/>
    </row>
    <row r="14" spans="2:9" ht="37.5" customHeight="1">
      <c r="B14" s="25">
        <v>4</v>
      </c>
      <c r="C14" s="26" t="s">
        <v>178</v>
      </c>
      <c r="D14" s="100">
        <f>TES!G15</f>
        <v>0</v>
      </c>
      <c r="F14" s="146"/>
      <c r="G14" s="149"/>
      <c r="I14" s="149"/>
    </row>
    <row r="15" spans="2:9" ht="37.5" customHeight="1">
      <c r="B15" s="25">
        <v>5</v>
      </c>
      <c r="C15" s="26" t="s">
        <v>179</v>
      </c>
      <c r="D15" s="100">
        <f>TES!H15</f>
        <v>0</v>
      </c>
      <c r="F15" s="146"/>
      <c r="G15" s="149"/>
      <c r="I15" s="149"/>
    </row>
    <row r="16" spans="2:9" ht="37.5" customHeight="1">
      <c r="B16" s="25">
        <v>6</v>
      </c>
      <c r="C16" s="26" t="s">
        <v>180</v>
      </c>
      <c r="D16" s="100">
        <f>TES!H24</f>
        <v>0</v>
      </c>
      <c r="F16" s="146"/>
      <c r="G16" s="148"/>
      <c r="I16" s="148"/>
    </row>
    <row r="17" spans="2:9" ht="37.5" customHeight="1">
      <c r="B17" s="25">
        <v>7</v>
      </c>
      <c r="C17" s="26" t="s">
        <v>181</v>
      </c>
      <c r="D17" s="100">
        <f>TES!G24</f>
        <v>0</v>
      </c>
      <c r="F17" s="146"/>
      <c r="G17" s="149"/>
      <c r="I17" s="149"/>
    </row>
    <row r="18" spans="2:9" ht="37.5" customHeight="1">
      <c r="B18" s="25">
        <v>8</v>
      </c>
      <c r="C18" s="26" t="s">
        <v>182</v>
      </c>
      <c r="D18" s="100">
        <f>TES!I24</f>
        <v>0</v>
      </c>
      <c r="F18" s="147"/>
      <c r="G18" s="148"/>
      <c r="I18" s="148"/>
    </row>
    <row r="19" spans="2:7" ht="37.5" customHeight="1">
      <c r="B19" s="25">
        <v>9</v>
      </c>
      <c r="C19" s="26" t="s">
        <v>183</v>
      </c>
      <c r="D19" s="100">
        <f>TES!G31</f>
        <v>0</v>
      </c>
      <c r="F19" s="146"/>
      <c r="G19" s="149"/>
    </row>
    <row r="20" spans="2:6" ht="37.5" customHeight="1">
      <c r="B20" s="25">
        <v>10</v>
      </c>
      <c r="C20" s="26" t="s">
        <v>184</v>
      </c>
      <c r="D20" s="100">
        <f>TES!H31</f>
        <v>0</v>
      </c>
      <c r="F20" s="146"/>
    </row>
    <row r="21" spans="2:9" ht="19.5" customHeight="1">
      <c r="B21" s="90"/>
      <c r="C21" s="91" t="s">
        <v>46</v>
      </c>
      <c r="D21" s="98">
        <f>SUM(D11:D20)</f>
        <v>0</v>
      </c>
      <c r="F21" s="146"/>
      <c r="G21" s="150"/>
      <c r="H21" s="151"/>
      <c r="I21" s="150"/>
    </row>
    <row r="22" spans="2:9" ht="19.5" customHeight="1">
      <c r="B22" s="90"/>
      <c r="C22" s="91" t="s">
        <v>14</v>
      </c>
      <c r="D22" s="98">
        <f>ROUND(D21*0.23,2)</f>
        <v>0</v>
      </c>
      <c r="F22" s="146"/>
      <c r="G22" s="150"/>
      <c r="H22" s="151"/>
      <c r="I22" s="150"/>
    </row>
    <row r="23" spans="2:9" ht="19.5" customHeight="1" thickBot="1">
      <c r="B23" s="92"/>
      <c r="C23" s="93" t="s">
        <v>47</v>
      </c>
      <c r="D23" s="99">
        <f>D22+D21</f>
        <v>0</v>
      </c>
      <c r="F23" s="147"/>
      <c r="G23" s="150"/>
      <c r="H23" s="151"/>
      <c r="I23" s="150"/>
    </row>
    <row r="24" ht="13.5" thickTop="1"/>
  </sheetData>
  <sheetProtection/>
  <mergeCells count="4">
    <mergeCell ref="B3:D3"/>
    <mergeCell ref="B5:D5"/>
    <mergeCell ref="B7:D7"/>
    <mergeCell ref="F8:G8"/>
  </mergeCells>
  <printOptions/>
  <pageMargins left="1.4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5">
      <selection activeCell="H28" sqref="H28"/>
    </sheetView>
  </sheetViews>
  <sheetFormatPr defaultColWidth="9.00390625" defaultRowHeight="12.75"/>
  <cols>
    <col min="1" max="1" width="1.00390625" style="0" customWidth="1"/>
    <col min="2" max="2" width="5.75390625" style="0" customWidth="1"/>
    <col min="3" max="3" width="49.625" style="0" customWidth="1"/>
    <col min="4" max="4" width="22.00390625" style="0" customWidth="1"/>
    <col min="5" max="5" width="1.875" style="0" customWidth="1"/>
    <col min="7" max="9" width="22.00390625" style="0" customWidth="1"/>
  </cols>
  <sheetData>
    <row r="2" spans="2:4" ht="18">
      <c r="B2" s="157" t="s">
        <v>48</v>
      </c>
      <c r="C2" s="157"/>
      <c r="D2" s="157"/>
    </row>
    <row r="3" ht="13.5" thickBot="1"/>
    <row r="4" spans="2:5" ht="50.25" customHeight="1" thickBot="1" thickTop="1">
      <c r="B4" s="158" t="s">
        <v>91</v>
      </c>
      <c r="C4" s="159"/>
      <c r="D4" s="160"/>
      <c r="E4" s="27"/>
    </row>
    <row r="5" spans="2:9" ht="38.25" customHeight="1" thickBot="1" thickTop="1">
      <c r="B5" s="28" t="s">
        <v>49</v>
      </c>
      <c r="C5" s="29" t="s">
        <v>50</v>
      </c>
      <c r="D5" s="30" t="s">
        <v>51</v>
      </c>
      <c r="G5" s="135" t="s">
        <v>171</v>
      </c>
      <c r="H5" s="30" t="s">
        <v>167</v>
      </c>
      <c r="I5" s="136" t="s">
        <v>170</v>
      </c>
    </row>
    <row r="6" spans="2:9" ht="22.5" customHeight="1" thickBot="1" thickTop="1">
      <c r="B6" s="87">
        <v>1</v>
      </c>
      <c r="C6" s="88" t="s">
        <v>93</v>
      </c>
      <c r="D6" s="89">
        <f>SUM(D7:D13)</f>
        <v>0</v>
      </c>
      <c r="G6" s="89">
        <f>SUM(G7:G13)</f>
        <v>0</v>
      </c>
      <c r="H6" s="89">
        <f>SUM(H7:H13)</f>
        <v>0</v>
      </c>
      <c r="I6" s="137">
        <f>SUM(I7:I13)</f>
        <v>0</v>
      </c>
    </row>
    <row r="7" spans="2:9" ht="18.75" customHeight="1" thickTop="1">
      <c r="B7" s="31" t="s">
        <v>71</v>
      </c>
      <c r="C7" s="32" t="s">
        <v>52</v>
      </c>
      <c r="D7" s="33">
        <f>SUM('1. Drogi  - E1'!H12:H17)</f>
        <v>0</v>
      </c>
      <c r="G7" s="33">
        <f>SUM('1. Drogi  - E1'!K12:K17,'1. Drogi  - E1'!O12:O17)</f>
        <v>0</v>
      </c>
      <c r="H7" s="33">
        <f>SUM('1. Drogi  - E1'!M12:M17)</f>
        <v>0</v>
      </c>
      <c r="I7" s="138">
        <f>SUM('1. Drogi  - E1'!Q12:Q17)</f>
        <v>0</v>
      </c>
    </row>
    <row r="8" spans="2:9" ht="18.75" customHeight="1">
      <c r="B8" s="34" t="s">
        <v>72</v>
      </c>
      <c r="C8" s="35" t="s">
        <v>53</v>
      </c>
      <c r="D8" s="36">
        <f>SUM('1. Drogi  - E1'!H19:H22)</f>
        <v>0</v>
      </c>
      <c r="G8" s="36">
        <f>SUM('1. Drogi  - E1'!K19:K22,'1. Drogi  - E1'!O19:O22)</f>
        <v>0</v>
      </c>
      <c r="H8" s="36">
        <f>SUM('1. Drogi  - E1'!M19:M22)</f>
        <v>0</v>
      </c>
      <c r="I8" s="139">
        <f>SUM('1. Drogi  - E1'!Q19:Q22)</f>
        <v>0</v>
      </c>
    </row>
    <row r="9" spans="2:9" ht="18.75" customHeight="1">
      <c r="B9" s="34" t="s">
        <v>73</v>
      </c>
      <c r="C9" s="35" t="s">
        <v>54</v>
      </c>
      <c r="D9" s="36">
        <f>SUM('1. Drogi  - E1'!H24:H27)</f>
        <v>0</v>
      </c>
      <c r="G9" s="36">
        <f>SUM('1. Drogi  - E1'!K24:K27,'1. Drogi  - E1'!O24:O27)</f>
        <v>0</v>
      </c>
      <c r="H9" s="36">
        <f>SUM('1. Drogi  - E1'!M24:M27)</f>
        <v>0</v>
      </c>
      <c r="I9" s="139">
        <f>SUM('1. Drogi  - E1'!Q24:Q27)</f>
        <v>0</v>
      </c>
    </row>
    <row r="10" spans="2:9" ht="18.75" customHeight="1">
      <c r="B10" s="34" t="s">
        <v>74</v>
      </c>
      <c r="C10" s="35" t="s">
        <v>55</v>
      </c>
      <c r="D10" s="36">
        <f>SUM('1. Drogi  - E1'!H29:H34)</f>
        <v>0</v>
      </c>
      <c r="G10" s="36">
        <f>SUM('1. Drogi  - E1'!K29:K34,'1. Drogi  - E1'!O29:O34)</f>
        <v>0</v>
      </c>
      <c r="H10" s="36">
        <f>SUM('1. Drogi  - E1'!M29:M34)</f>
        <v>0</v>
      </c>
      <c r="I10" s="139">
        <f>SUM('1. Drogi  - E1'!Q29:Q34)</f>
        <v>0</v>
      </c>
    </row>
    <row r="11" spans="2:9" ht="18.75" customHeight="1">
      <c r="B11" s="34" t="s">
        <v>75</v>
      </c>
      <c r="C11" s="35" t="s">
        <v>56</v>
      </c>
      <c r="D11" s="36">
        <f>SUM('1. Drogi  - E1'!H36:H40)</f>
        <v>0</v>
      </c>
      <c r="G11" s="36">
        <f>SUM('1. Drogi  - E1'!K36:K40,'1. Drogi  - E1'!O36:O40)</f>
        <v>0</v>
      </c>
      <c r="H11" s="36">
        <f>SUM('1. Drogi  - E1'!M36:M40)</f>
        <v>0</v>
      </c>
      <c r="I11" s="139">
        <f>SUM('1. Drogi  - E1'!Q36:Q40)</f>
        <v>0</v>
      </c>
    </row>
    <row r="12" spans="2:9" ht="18.75" customHeight="1">
      <c r="B12" s="34" t="s">
        <v>76</v>
      </c>
      <c r="C12" s="35" t="s">
        <v>57</v>
      </c>
      <c r="D12" s="36">
        <f>SUM('1. Drogi  - E1'!H42:H43)</f>
        <v>0</v>
      </c>
      <c r="G12" s="36">
        <f>SUM('1. Drogi  - E1'!K42:K43,'1. Drogi  - E1'!O42:O43)</f>
        <v>0</v>
      </c>
      <c r="H12" s="36">
        <f>SUM('1. Drogi  - E1'!M42:M43)</f>
        <v>0</v>
      </c>
      <c r="I12" s="139">
        <f>SUM('1. Drogi  - E1'!Q42:Q43)</f>
        <v>0</v>
      </c>
    </row>
    <row r="13" spans="2:9" ht="18.75" customHeight="1" thickBot="1">
      <c r="B13" s="37" t="s">
        <v>77</v>
      </c>
      <c r="C13" s="38" t="s">
        <v>58</v>
      </c>
      <c r="D13" s="39">
        <f>SUM('1. Drogi  - E1'!H45:H47)</f>
        <v>0</v>
      </c>
      <c r="G13" s="39">
        <f>SUM('1. Drogi  - E1'!K45:K47,'1. Drogi  - E1'!O45:O47)</f>
        <v>0</v>
      </c>
      <c r="H13" s="39">
        <f>SUM('1. Drogi  - E1'!M45:M47)</f>
        <v>0</v>
      </c>
      <c r="I13" s="140">
        <f>SUM('1. Drogi  - E1'!Q45:Q47)</f>
        <v>0</v>
      </c>
    </row>
    <row r="14" spans="2:8" ht="37.5" customHeight="1" thickBot="1" thickTop="1">
      <c r="B14" s="28" t="s">
        <v>49</v>
      </c>
      <c r="C14" s="29" t="s">
        <v>50</v>
      </c>
      <c r="D14" s="30" t="s">
        <v>51</v>
      </c>
      <c r="G14" s="135" t="s">
        <v>172</v>
      </c>
      <c r="H14" s="135" t="s">
        <v>173</v>
      </c>
    </row>
    <row r="15" spans="2:8" ht="18.75" customHeight="1" thickBot="1" thickTop="1">
      <c r="B15" s="87">
        <v>2</v>
      </c>
      <c r="C15" s="88" t="s">
        <v>94</v>
      </c>
      <c r="D15" s="89">
        <f>SUM(D16:D22)</f>
        <v>0</v>
      </c>
      <c r="G15" s="89">
        <f>SUM(G16:G22)</f>
        <v>0</v>
      </c>
      <c r="H15" s="89">
        <f>SUM(H16:H22)</f>
        <v>0</v>
      </c>
    </row>
    <row r="16" spans="2:8" ht="18.75" customHeight="1" thickTop="1">
      <c r="B16" s="31" t="s">
        <v>71</v>
      </c>
      <c r="C16" s="32" t="s">
        <v>52</v>
      </c>
      <c r="D16" s="33">
        <f>SUM('2. Drogi - E2'!H12:H17)</f>
        <v>0</v>
      </c>
      <c r="G16" s="33">
        <f>SUM('2. Drogi - E2'!K12:K17)</f>
        <v>0</v>
      </c>
      <c r="H16" s="33">
        <f>SUM('2. Drogi - E2'!M12:M17)</f>
        <v>0</v>
      </c>
    </row>
    <row r="17" spans="2:8" ht="18.75" customHeight="1">
      <c r="B17" s="34" t="s">
        <v>72</v>
      </c>
      <c r="C17" s="35" t="s">
        <v>53</v>
      </c>
      <c r="D17" s="36">
        <f>SUM('2. Drogi - E2'!H19:H22)</f>
        <v>0</v>
      </c>
      <c r="G17" s="36">
        <f>SUM('2. Drogi - E2'!K19:K22)</f>
        <v>0</v>
      </c>
      <c r="H17" s="36">
        <f>SUM('2. Drogi - E2'!M19:M22)</f>
        <v>0</v>
      </c>
    </row>
    <row r="18" spans="2:8" ht="18.75" customHeight="1">
      <c r="B18" s="34" t="s">
        <v>73</v>
      </c>
      <c r="C18" s="35" t="s">
        <v>54</v>
      </c>
      <c r="D18" s="36">
        <f>SUM('2. Drogi - E2'!H24:H27)</f>
        <v>0</v>
      </c>
      <c r="G18" s="36">
        <f>SUM('2. Drogi - E2'!K24:K27)</f>
        <v>0</v>
      </c>
      <c r="H18" s="36">
        <f>SUM('2. Drogi - E2'!M24:M27)</f>
        <v>0</v>
      </c>
    </row>
    <row r="19" spans="2:8" ht="18.75" customHeight="1">
      <c r="B19" s="34" t="s">
        <v>74</v>
      </c>
      <c r="C19" s="35" t="s">
        <v>55</v>
      </c>
      <c r="D19" s="36">
        <f>SUM('2. Drogi - E2'!H29:H33)</f>
        <v>0</v>
      </c>
      <c r="G19" s="36">
        <f>SUM('2. Drogi - E2'!K29:K33)</f>
        <v>0</v>
      </c>
      <c r="H19" s="36">
        <f>SUM('2. Drogi - E2'!M29:M33)</f>
        <v>0</v>
      </c>
    </row>
    <row r="20" spans="2:8" ht="18.75" customHeight="1">
      <c r="B20" s="34" t="s">
        <v>75</v>
      </c>
      <c r="C20" s="35" t="s">
        <v>56</v>
      </c>
      <c r="D20" s="36">
        <f>SUM('2. Drogi - E2'!H35:H39)</f>
        <v>0</v>
      </c>
      <c r="G20" s="36">
        <f>SUM('2. Drogi - E2'!K35:K39)</f>
        <v>0</v>
      </c>
      <c r="H20" s="36">
        <f>SUM('2. Drogi - E2'!M35:M39)</f>
        <v>0</v>
      </c>
    </row>
    <row r="21" spans="2:8" ht="18.75" customHeight="1">
      <c r="B21" s="34" t="s">
        <v>76</v>
      </c>
      <c r="C21" s="35" t="s">
        <v>57</v>
      </c>
      <c r="D21" s="36">
        <f>SUM('2. Drogi - E2'!H41:H42)</f>
        <v>0</v>
      </c>
      <c r="G21" s="36">
        <f>SUM('2. Drogi - E2'!K41:K42)</f>
        <v>0</v>
      </c>
      <c r="H21" s="36">
        <f>SUM('2. Drogi - E2'!M41:M42)</f>
        <v>0</v>
      </c>
    </row>
    <row r="22" spans="2:8" ht="18.75" customHeight="1" thickBot="1">
      <c r="B22" s="37" t="s">
        <v>77</v>
      </c>
      <c r="C22" s="38" t="s">
        <v>58</v>
      </c>
      <c r="D22" s="39">
        <f>SUM('2. Drogi - E2'!H44:H46)</f>
        <v>0</v>
      </c>
      <c r="G22" s="39">
        <f>SUM('2. Drogi - E2'!K44:K46)</f>
        <v>0</v>
      </c>
      <c r="H22" s="39">
        <f>SUM('2. Drogi - E2'!M44:M46)</f>
        <v>0</v>
      </c>
    </row>
    <row r="23" spans="2:9" ht="36.75" customHeight="1" thickBot="1" thickTop="1">
      <c r="B23" s="28" t="s">
        <v>49</v>
      </c>
      <c r="C23" s="29" t="s">
        <v>50</v>
      </c>
      <c r="D23" s="30" t="s">
        <v>51</v>
      </c>
      <c r="G23" s="135" t="s">
        <v>171</v>
      </c>
      <c r="H23" s="30" t="s">
        <v>167</v>
      </c>
      <c r="I23" s="136" t="s">
        <v>170</v>
      </c>
    </row>
    <row r="24" spans="2:9" ht="22.5" customHeight="1" thickBot="1" thickTop="1">
      <c r="B24" s="87">
        <v>3</v>
      </c>
      <c r="C24" s="88" t="s">
        <v>95</v>
      </c>
      <c r="D24" s="89">
        <f>SUM(D25:D29)</f>
        <v>0</v>
      </c>
      <c r="G24" s="89">
        <f>SUM(G25:G29)</f>
        <v>0</v>
      </c>
      <c r="H24" s="89">
        <f>SUM(H25:H29)</f>
        <v>0</v>
      </c>
      <c r="I24" s="89">
        <f>SUM(I25:I29)</f>
        <v>0</v>
      </c>
    </row>
    <row r="25" spans="2:9" ht="18.75" customHeight="1" thickTop="1">
      <c r="B25" s="31" t="s">
        <v>71</v>
      </c>
      <c r="C25" s="35" t="s">
        <v>80</v>
      </c>
      <c r="D25" s="36">
        <f>SUM('3. KD - E1'!H10)</f>
        <v>0</v>
      </c>
      <c r="G25" s="36">
        <f>SUM('3. KD - E1'!K10,'3. KD - E1'!O10)</f>
        <v>0</v>
      </c>
      <c r="H25" s="36">
        <f>SUM('3. KD - E1'!M10)</f>
        <v>0</v>
      </c>
      <c r="I25" s="36">
        <f>SUM('3. KD - E1'!Q10)</f>
        <v>0</v>
      </c>
    </row>
    <row r="26" spans="2:9" ht="18.75" customHeight="1">
      <c r="B26" s="34" t="s">
        <v>72</v>
      </c>
      <c r="C26" s="35" t="s">
        <v>59</v>
      </c>
      <c r="D26" s="36">
        <f>SUM('3. KD - E1'!H12:H18)</f>
        <v>0</v>
      </c>
      <c r="G26" s="36">
        <f>SUM('3. KD - E1'!K12:K18,'3. KD - E1'!O12:O18)</f>
        <v>0</v>
      </c>
      <c r="H26" s="36">
        <f>SUM('3. KD - E1'!M12:M18)</f>
        <v>0</v>
      </c>
      <c r="I26" s="36">
        <f>SUM('3. KD - E1'!Q12:Q18)</f>
        <v>0</v>
      </c>
    </row>
    <row r="27" spans="2:9" ht="18.75" customHeight="1">
      <c r="B27" s="34" t="s">
        <v>73</v>
      </c>
      <c r="C27" s="35" t="s">
        <v>60</v>
      </c>
      <c r="D27" s="36">
        <f>SUM('3. KD - E1'!H20:H22)</f>
        <v>0</v>
      </c>
      <c r="G27" s="36">
        <f>SUM('3. KD - E1'!K20:K22,'3. KD - E1'!O20:O22)</f>
        <v>0</v>
      </c>
      <c r="H27" s="36">
        <f>SUM('3. KD - E1'!M20:M22)</f>
        <v>0</v>
      </c>
      <c r="I27" s="36">
        <f>SUM('3. KD - E1'!Q20:Q22)</f>
        <v>0</v>
      </c>
    </row>
    <row r="28" spans="2:9" ht="18.75" customHeight="1">
      <c r="B28" s="34" t="s">
        <v>74</v>
      </c>
      <c r="C28" s="35" t="s">
        <v>61</v>
      </c>
      <c r="D28" s="36">
        <f>SUM('3. KD - E1'!H24:H28)</f>
        <v>0</v>
      </c>
      <c r="G28" s="36">
        <f>SUM('3. KD - E1'!K24:K28,'3. KD - E1'!O24:O28)</f>
        <v>0</v>
      </c>
      <c r="H28" s="36">
        <f>SUM('3. KD - E1'!M24:M28)</f>
        <v>0</v>
      </c>
      <c r="I28" s="36">
        <f>SUM('3. KD - E1'!Q24:Q28)</f>
        <v>0</v>
      </c>
    </row>
    <row r="29" spans="2:9" ht="18.75" customHeight="1" thickBot="1">
      <c r="B29" s="34" t="s">
        <v>88</v>
      </c>
      <c r="C29" s="38" t="s">
        <v>62</v>
      </c>
      <c r="D29" s="39">
        <f>SUM('3. KD - E1'!H30:H32)</f>
        <v>0</v>
      </c>
      <c r="G29" s="39">
        <f>SUM('3. KD - E1'!K30:K32,'3. KD - E1'!O30:O32)</f>
        <v>0</v>
      </c>
      <c r="H29" s="39">
        <f>SUM('3. KD - E1'!M30:M32)</f>
        <v>0</v>
      </c>
      <c r="I29" s="140">
        <f>SUM('3. KD - E1'!Q30:Q32)</f>
        <v>0</v>
      </c>
    </row>
    <row r="30" spans="2:8" ht="34.5" customHeight="1" thickBot="1" thickTop="1">
      <c r="B30" s="28" t="s">
        <v>49</v>
      </c>
      <c r="C30" s="29" t="s">
        <v>50</v>
      </c>
      <c r="D30" s="30" t="s">
        <v>51</v>
      </c>
      <c r="G30" s="135" t="s">
        <v>172</v>
      </c>
      <c r="H30" s="135" t="s">
        <v>173</v>
      </c>
    </row>
    <row r="31" spans="2:8" ht="18.75" customHeight="1" thickBot="1" thickTop="1">
      <c r="B31" s="87">
        <v>4</v>
      </c>
      <c r="C31" s="88" t="s">
        <v>96</v>
      </c>
      <c r="D31" s="89">
        <f>SUM(D32:D36)</f>
        <v>0</v>
      </c>
      <c r="G31" s="89">
        <f>SUM(G32:G38)</f>
        <v>0</v>
      </c>
      <c r="H31" s="89">
        <f>SUM(H32:H38)</f>
        <v>0</v>
      </c>
    </row>
    <row r="32" spans="2:8" ht="18.75" customHeight="1" thickTop="1">
      <c r="B32" s="31" t="s">
        <v>71</v>
      </c>
      <c r="C32" s="35" t="s">
        <v>80</v>
      </c>
      <c r="D32" s="36">
        <f>SUM('3. KD - E2'!H10)</f>
        <v>0</v>
      </c>
      <c r="G32" s="33">
        <f>SUM('3. KD - E2'!K10)</f>
        <v>0</v>
      </c>
      <c r="H32" s="33">
        <f>SUM('3. KD - E2'!M10)</f>
        <v>0</v>
      </c>
    </row>
    <row r="33" spans="2:8" ht="18.75" customHeight="1">
      <c r="B33" s="34" t="s">
        <v>72</v>
      </c>
      <c r="C33" s="35" t="s">
        <v>59</v>
      </c>
      <c r="D33" s="36">
        <f>SUM('3. KD - E2'!H12:H18)</f>
        <v>0</v>
      </c>
      <c r="G33" s="36">
        <f>SUM('3. KD - E2'!K12:K18)</f>
        <v>0</v>
      </c>
      <c r="H33" s="36">
        <f>SUM('3. KD - E2'!M12:M18)</f>
        <v>0</v>
      </c>
    </row>
    <row r="34" spans="2:8" ht="18.75" customHeight="1">
      <c r="B34" s="34" t="s">
        <v>73</v>
      </c>
      <c r="C34" s="35" t="s">
        <v>60</v>
      </c>
      <c r="D34" s="36">
        <f>SUM('3. KD - E2'!H20:H22)</f>
        <v>0</v>
      </c>
      <c r="G34" s="36">
        <f>SUM('3. KD - E2'!K20:K22)</f>
        <v>0</v>
      </c>
      <c r="H34" s="36">
        <f>SUM('3. KD - E2'!M20:M22)</f>
        <v>0</v>
      </c>
    </row>
    <row r="35" spans="2:8" ht="18.75" customHeight="1">
      <c r="B35" s="34" t="s">
        <v>74</v>
      </c>
      <c r="C35" s="35" t="s">
        <v>61</v>
      </c>
      <c r="D35" s="36">
        <f>SUM('3. KD - E2'!H24:H25)</f>
        <v>0</v>
      </c>
      <c r="G35" s="36">
        <f>SUM('3. KD - E2'!K24:K25)</f>
        <v>0</v>
      </c>
      <c r="H35" s="36">
        <f>SUM('3. KD - E2'!M24:M25)</f>
        <v>0</v>
      </c>
    </row>
    <row r="36" spans="2:8" ht="18.75" customHeight="1" thickBot="1">
      <c r="B36" s="34" t="s">
        <v>88</v>
      </c>
      <c r="C36" s="38" t="s">
        <v>62</v>
      </c>
      <c r="D36" s="39">
        <f>SUM('3. KD - E2'!H27:H29)</f>
        <v>0</v>
      </c>
      <c r="G36" s="145">
        <f>SUM('3. KD - E2'!K27:K29)</f>
        <v>0</v>
      </c>
      <c r="H36" s="145">
        <f>SUM('3. KD - E2'!M27:M29)</f>
        <v>0</v>
      </c>
    </row>
    <row r="37" spans="2:4" ht="25.5" customHeight="1" thickTop="1">
      <c r="B37" s="40"/>
      <c r="C37" s="41" t="s">
        <v>46</v>
      </c>
      <c r="D37" s="42">
        <f>D31+D24+D15+D6</f>
        <v>0</v>
      </c>
    </row>
    <row r="38" spans="2:4" ht="25.5" customHeight="1">
      <c r="B38" s="43"/>
      <c r="C38" s="44" t="s">
        <v>63</v>
      </c>
      <c r="D38" s="45">
        <f>ROUND(D37*0.23,2)</f>
        <v>0</v>
      </c>
    </row>
    <row r="39" spans="2:4" ht="25.5" customHeight="1" thickBot="1">
      <c r="B39" s="46"/>
      <c r="C39" s="47" t="s">
        <v>47</v>
      </c>
      <c r="D39" s="48">
        <f>D38+D37</f>
        <v>0</v>
      </c>
    </row>
    <row r="40" ht="13.5" thickTop="1"/>
  </sheetData>
  <sheetProtection/>
  <mergeCells count="2">
    <mergeCell ref="B2:D2"/>
    <mergeCell ref="B4:D4"/>
  </mergeCells>
  <printOptions/>
  <pageMargins left="1.34" right="0.67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Y48"/>
  <sheetViews>
    <sheetView zoomScalePageLayoutView="0" workbookViewId="0" topLeftCell="A37">
      <selection activeCell="A1" sqref="A1:Q48"/>
    </sheetView>
  </sheetViews>
  <sheetFormatPr defaultColWidth="9.00390625" defaultRowHeight="12.75"/>
  <cols>
    <col min="2" max="2" width="7.125" style="0" customWidth="1"/>
    <col min="3" max="3" width="12.625" style="0" customWidth="1"/>
    <col min="4" max="4" width="33.625" style="0" customWidth="1"/>
    <col min="5" max="5" width="7.75390625" style="0" customWidth="1"/>
    <col min="6" max="6" width="12.00390625" style="0" customWidth="1"/>
    <col min="7" max="7" width="13.125" style="0" customWidth="1"/>
    <col min="8" max="8" width="14.125" style="0" customWidth="1"/>
    <col min="10" max="10" width="13.125" style="0" customWidth="1"/>
    <col min="11" max="11" width="14.125" style="0" customWidth="1"/>
    <col min="12" max="12" width="13.125" style="0" customWidth="1"/>
    <col min="13" max="13" width="14.125" style="0" customWidth="1"/>
    <col min="14" max="14" width="13.125" style="0" customWidth="1"/>
    <col min="15" max="15" width="14.125" style="0" customWidth="1"/>
    <col min="16" max="16" width="13.125" style="0" customWidth="1"/>
    <col min="17" max="17" width="14.125" style="0" customWidth="1"/>
  </cols>
  <sheetData>
    <row r="3" spans="2:8" ht="41.25" customHeight="1">
      <c r="B3" s="152" t="s">
        <v>92</v>
      </c>
      <c r="C3" s="153"/>
      <c r="D3" s="153"/>
      <c r="E3" s="153"/>
      <c r="F3" s="153"/>
      <c r="G3" s="153"/>
      <c r="H3" s="153"/>
    </row>
    <row r="5" spans="2:8" ht="12.75">
      <c r="B5" s="154" t="s">
        <v>186</v>
      </c>
      <c r="C5" s="154"/>
      <c r="D5" s="154"/>
      <c r="E5" s="154"/>
      <c r="F5" s="154"/>
      <c r="G5" s="154"/>
      <c r="H5" s="154"/>
    </row>
    <row r="6" spans="12:17" ht="12.75">
      <c r="L6" s="156" t="s">
        <v>157</v>
      </c>
      <c r="M6" s="156"/>
      <c r="P6" s="156" t="s">
        <v>160</v>
      </c>
      <c r="Q6" s="156"/>
    </row>
    <row r="7" spans="4:17" ht="12.75">
      <c r="D7" s="154" t="s">
        <v>139</v>
      </c>
      <c r="E7" s="154"/>
      <c r="F7" s="154"/>
      <c r="J7" s="161" t="s">
        <v>156</v>
      </c>
      <c r="K7" s="161"/>
      <c r="L7" s="161" t="s">
        <v>156</v>
      </c>
      <c r="M7" s="161"/>
      <c r="N7" s="161" t="s">
        <v>156</v>
      </c>
      <c r="O7" s="161"/>
      <c r="P7" s="161" t="s">
        <v>159</v>
      </c>
      <c r="Q7" s="161"/>
    </row>
    <row r="8" spans="10:17" ht="13.5" thickBot="1">
      <c r="J8" s="126">
        <v>0</v>
      </c>
      <c r="K8" s="126">
        <v>41.62</v>
      </c>
      <c r="L8" s="126">
        <f>K8</f>
        <v>41.62</v>
      </c>
      <c r="M8" s="126">
        <v>144.12</v>
      </c>
      <c r="N8" s="126">
        <v>144.12</v>
      </c>
      <c r="O8" s="126">
        <v>189.55</v>
      </c>
      <c r="P8" s="126">
        <v>0</v>
      </c>
      <c r="Q8" s="126">
        <v>166.78</v>
      </c>
    </row>
    <row r="9" spans="2:17" ht="21.75" customHeight="1" thickTop="1">
      <c r="B9" s="6" t="s">
        <v>1</v>
      </c>
      <c r="C9" s="7" t="s">
        <v>64</v>
      </c>
      <c r="D9" s="7" t="s">
        <v>2</v>
      </c>
      <c r="E9" s="7" t="s">
        <v>3</v>
      </c>
      <c r="F9" s="7" t="s">
        <v>4</v>
      </c>
      <c r="G9" s="7" t="s">
        <v>5</v>
      </c>
      <c r="H9" s="8" t="s">
        <v>6</v>
      </c>
      <c r="J9" s="123" t="s">
        <v>158</v>
      </c>
      <c r="K9" s="124" t="s">
        <v>6</v>
      </c>
      <c r="L9" s="7" t="s">
        <v>4</v>
      </c>
      <c r="M9" s="8" t="s">
        <v>6</v>
      </c>
      <c r="N9" s="7" t="s">
        <v>4</v>
      </c>
      <c r="O9" s="8" t="s">
        <v>6</v>
      </c>
      <c r="P9" s="7" t="s">
        <v>4</v>
      </c>
      <c r="Q9" s="8" t="s">
        <v>6</v>
      </c>
    </row>
    <row r="10" spans="2:17" ht="12.75">
      <c r="B10" s="9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0">
        <v>7</v>
      </c>
      <c r="J10" s="1">
        <v>6</v>
      </c>
      <c r="K10" s="10">
        <v>7</v>
      </c>
      <c r="L10" s="1">
        <v>6</v>
      </c>
      <c r="M10" s="10">
        <v>7</v>
      </c>
      <c r="N10" s="1">
        <v>6</v>
      </c>
      <c r="O10" s="10">
        <v>7</v>
      </c>
      <c r="P10" s="1">
        <v>6</v>
      </c>
      <c r="Q10" s="10">
        <v>7</v>
      </c>
    </row>
    <row r="11" spans="2:17" ht="27" customHeight="1">
      <c r="B11" s="15" t="s">
        <v>0</v>
      </c>
      <c r="C11" s="16"/>
      <c r="D11" s="106" t="s">
        <v>15</v>
      </c>
      <c r="E11" s="102"/>
      <c r="F11" s="102"/>
      <c r="G11" s="17"/>
      <c r="H11" s="18"/>
      <c r="J11" s="17"/>
      <c r="K11" s="18"/>
      <c r="L11" s="17"/>
      <c r="M11" s="18"/>
      <c r="N11" s="17"/>
      <c r="O11" s="18"/>
      <c r="P11" s="17"/>
      <c r="Q11" s="18"/>
    </row>
    <row r="12" spans="2:19" ht="38.25">
      <c r="B12" s="11">
        <v>1</v>
      </c>
      <c r="C12" s="4" t="s">
        <v>21</v>
      </c>
      <c r="D12" s="103" t="s">
        <v>112</v>
      </c>
      <c r="E12" s="104" t="s">
        <v>7</v>
      </c>
      <c r="F12" s="105">
        <f>0.2+0.17</f>
        <v>0.37</v>
      </c>
      <c r="G12" s="2"/>
      <c r="H12" s="12">
        <f aca="true" t="shared" si="0" ref="H12:H17">G12*F12</f>
        <v>0</v>
      </c>
      <c r="J12" s="127">
        <v>0.04</v>
      </c>
      <c r="K12" s="12">
        <f aca="true" t="shared" si="1" ref="K12:K17">ROUND(J12*$G12,2)</f>
        <v>0</v>
      </c>
      <c r="L12" s="2">
        <v>0.1</v>
      </c>
      <c r="M12" s="12">
        <f aca="true" t="shared" si="2" ref="M12:M17">ROUND(L12*$G12,2)</f>
        <v>0</v>
      </c>
      <c r="N12" s="2">
        <v>0.05</v>
      </c>
      <c r="O12" s="12">
        <f aca="true" t="shared" si="3" ref="O12:Q17">ROUND(N12*$G12,2)</f>
        <v>0</v>
      </c>
      <c r="P12" s="2">
        <v>0.18</v>
      </c>
      <c r="Q12" s="12">
        <f t="shared" si="3"/>
        <v>0</v>
      </c>
      <c r="S12" s="49"/>
    </row>
    <row r="13" spans="2:19" ht="34.5" customHeight="1">
      <c r="B13" s="11">
        <f>MAX(B12:B$12)+1</f>
        <v>2</v>
      </c>
      <c r="C13" s="4" t="s">
        <v>33</v>
      </c>
      <c r="D13" s="3" t="s">
        <v>35</v>
      </c>
      <c r="E13" s="5" t="s">
        <v>8</v>
      </c>
      <c r="F13" s="107">
        <v>1860</v>
      </c>
      <c r="G13" s="2"/>
      <c r="H13" s="12">
        <f t="shared" si="0"/>
        <v>0</v>
      </c>
      <c r="J13" s="127">
        <v>20</v>
      </c>
      <c r="K13" s="12">
        <f t="shared" si="1"/>
        <v>0</v>
      </c>
      <c r="L13" s="127">
        <v>420</v>
      </c>
      <c r="M13" s="12">
        <f t="shared" si="2"/>
        <v>0</v>
      </c>
      <c r="N13" s="127">
        <v>120</v>
      </c>
      <c r="O13" s="12">
        <f t="shared" si="3"/>
        <v>0</v>
      </c>
      <c r="P13" s="127">
        <v>1300</v>
      </c>
      <c r="Q13" s="12">
        <f t="shared" si="3"/>
        <v>0</v>
      </c>
      <c r="S13" s="49"/>
    </row>
    <row r="14" spans="2:19" ht="63.75">
      <c r="B14" s="11">
        <f>MAX(B$12:B13)+1</f>
        <v>3</v>
      </c>
      <c r="C14" s="4" t="s">
        <v>22</v>
      </c>
      <c r="D14" s="3" t="s">
        <v>116</v>
      </c>
      <c r="E14" s="5" t="s">
        <v>8</v>
      </c>
      <c r="F14" s="107">
        <v>325</v>
      </c>
      <c r="G14" s="2"/>
      <c r="H14" s="12">
        <f t="shared" si="0"/>
        <v>0</v>
      </c>
      <c r="J14" s="127">
        <v>0</v>
      </c>
      <c r="K14" s="130">
        <f t="shared" si="1"/>
        <v>0</v>
      </c>
      <c r="L14" s="127">
        <v>325</v>
      </c>
      <c r="M14" s="130">
        <f t="shared" si="2"/>
        <v>0</v>
      </c>
      <c r="N14" s="127">
        <v>0</v>
      </c>
      <c r="O14" s="130">
        <f t="shared" si="3"/>
        <v>0</v>
      </c>
      <c r="P14" s="127">
        <v>0</v>
      </c>
      <c r="Q14" s="130">
        <f t="shared" si="3"/>
        <v>0</v>
      </c>
      <c r="S14" s="49"/>
    </row>
    <row r="15" spans="2:19" ht="63.75">
      <c r="B15" s="11">
        <f>MAX(B$12:B14)+1</f>
        <v>4</v>
      </c>
      <c r="C15" s="4" t="s">
        <v>22</v>
      </c>
      <c r="D15" s="3" t="s">
        <v>117</v>
      </c>
      <c r="E15" s="5" t="s">
        <v>8</v>
      </c>
      <c r="F15" s="107">
        <v>1040</v>
      </c>
      <c r="G15" s="2"/>
      <c r="H15" s="12">
        <f t="shared" si="0"/>
        <v>0</v>
      </c>
      <c r="J15" s="127">
        <v>200</v>
      </c>
      <c r="K15" s="130">
        <f t="shared" si="1"/>
        <v>0</v>
      </c>
      <c r="L15" s="127">
        <v>60</v>
      </c>
      <c r="M15" s="130">
        <f t="shared" si="2"/>
        <v>0</v>
      </c>
      <c r="N15" s="127">
        <v>180</v>
      </c>
      <c r="O15" s="130">
        <f t="shared" si="3"/>
        <v>0</v>
      </c>
      <c r="P15" s="127">
        <v>600</v>
      </c>
      <c r="Q15" s="130">
        <f t="shared" si="3"/>
        <v>0</v>
      </c>
      <c r="S15" s="49"/>
    </row>
    <row r="16" spans="2:19" ht="42.75" customHeight="1">
      <c r="B16" s="11">
        <f>MAX(B$12:B15)+1</f>
        <v>5</v>
      </c>
      <c r="C16" s="4" t="s">
        <v>22</v>
      </c>
      <c r="D16" s="3" t="s">
        <v>118</v>
      </c>
      <c r="E16" s="5" t="s">
        <v>8</v>
      </c>
      <c r="F16" s="132">
        <f>197+60</f>
        <v>257</v>
      </c>
      <c r="G16" s="2"/>
      <c r="H16" s="12">
        <f t="shared" si="0"/>
        <v>0</v>
      </c>
      <c r="J16" s="127">
        <v>85</v>
      </c>
      <c r="K16" s="130">
        <f t="shared" si="1"/>
        <v>0</v>
      </c>
      <c r="L16" s="127">
        <v>92</v>
      </c>
      <c r="M16" s="130">
        <f t="shared" si="2"/>
        <v>0</v>
      </c>
      <c r="N16" s="127">
        <v>0</v>
      </c>
      <c r="O16" s="130">
        <f t="shared" si="3"/>
        <v>0</v>
      </c>
      <c r="P16" s="127">
        <f>20+60</f>
        <v>80</v>
      </c>
      <c r="Q16" s="130">
        <f t="shared" si="3"/>
        <v>0</v>
      </c>
      <c r="S16" s="49"/>
    </row>
    <row r="17" spans="2:19" ht="51">
      <c r="B17" s="11">
        <f>MAX(B$12:B16)+1</f>
        <v>6</v>
      </c>
      <c r="C17" s="4" t="s">
        <v>22</v>
      </c>
      <c r="D17" s="131" t="s">
        <v>168</v>
      </c>
      <c r="E17" s="5" t="s">
        <v>119</v>
      </c>
      <c r="F17" s="132">
        <f>160+45</f>
        <v>205</v>
      </c>
      <c r="G17" s="2"/>
      <c r="H17" s="12">
        <f t="shared" si="0"/>
        <v>0</v>
      </c>
      <c r="J17" s="127">
        <v>41</v>
      </c>
      <c r="K17" s="130">
        <f t="shared" si="1"/>
        <v>0</v>
      </c>
      <c r="L17" s="127">
        <v>85</v>
      </c>
      <c r="M17" s="130">
        <f t="shared" si="2"/>
        <v>0</v>
      </c>
      <c r="N17" s="127">
        <v>0</v>
      </c>
      <c r="O17" s="130">
        <f t="shared" si="3"/>
        <v>0</v>
      </c>
      <c r="P17" s="127">
        <f>34+45</f>
        <v>79</v>
      </c>
      <c r="Q17" s="130">
        <f t="shared" si="3"/>
        <v>0</v>
      </c>
      <c r="S17" s="49"/>
    </row>
    <row r="18" spans="2:19" ht="23.25" customHeight="1">
      <c r="B18" s="15" t="s">
        <v>12</v>
      </c>
      <c r="C18" s="16"/>
      <c r="D18" s="106" t="s">
        <v>23</v>
      </c>
      <c r="E18" s="101"/>
      <c r="F18" s="101"/>
      <c r="G18" s="17"/>
      <c r="H18" s="18"/>
      <c r="J18" s="17"/>
      <c r="K18" s="18"/>
      <c r="L18" s="17"/>
      <c r="M18" s="18"/>
      <c r="N18" s="17"/>
      <c r="O18" s="18"/>
      <c r="P18" s="17"/>
      <c r="Q18" s="18"/>
      <c r="S18" s="49"/>
    </row>
    <row r="19" spans="2:25" ht="51">
      <c r="B19" s="11">
        <f>MAX(B$12:B18)+1</f>
        <v>7</v>
      </c>
      <c r="C19" s="14" t="s">
        <v>29</v>
      </c>
      <c r="D19" s="3" t="s">
        <v>120</v>
      </c>
      <c r="E19" s="5" t="s">
        <v>8</v>
      </c>
      <c r="F19" s="2">
        <v>2166</v>
      </c>
      <c r="G19" s="2"/>
      <c r="H19" s="12">
        <f>G19*F19</f>
        <v>0</v>
      </c>
      <c r="J19" s="127">
        <f>J26</f>
        <v>200</v>
      </c>
      <c r="K19" s="130">
        <f>ROUND(J19*$G19,2)</f>
        <v>0</v>
      </c>
      <c r="L19" s="127">
        <f>L26</f>
        <v>693</v>
      </c>
      <c r="M19" s="130">
        <f>ROUND(L19*$G19,2)</f>
        <v>0</v>
      </c>
      <c r="N19" s="127">
        <f>N26</f>
        <v>240</v>
      </c>
      <c r="O19" s="130">
        <f aca="true" t="shared" si="4" ref="O19:Q22">ROUND(N19*$G19,2)</f>
        <v>0</v>
      </c>
      <c r="P19" s="127">
        <f>P26</f>
        <v>1033</v>
      </c>
      <c r="Q19" s="130">
        <f t="shared" si="4"/>
        <v>0</v>
      </c>
      <c r="S19" s="49"/>
      <c r="T19" s="49"/>
      <c r="U19" s="49"/>
      <c r="V19" s="49"/>
      <c r="W19" s="49"/>
      <c r="X19" s="49"/>
      <c r="Y19" s="49"/>
    </row>
    <row r="20" spans="2:19" ht="25.5">
      <c r="B20" s="11">
        <f>MAX(B$12:B19)+1</f>
        <v>8</v>
      </c>
      <c r="C20" s="14" t="s">
        <v>29</v>
      </c>
      <c r="D20" s="3" t="s">
        <v>121</v>
      </c>
      <c r="E20" s="5" t="s">
        <v>8</v>
      </c>
      <c r="F20" s="2">
        <v>720</v>
      </c>
      <c r="G20" s="2"/>
      <c r="H20" s="12">
        <f>G20*F20</f>
        <v>0</v>
      </c>
      <c r="J20" s="127">
        <f>J33</f>
        <v>66</v>
      </c>
      <c r="K20" s="130">
        <f>ROUND(J20*$G20,2)</f>
        <v>0</v>
      </c>
      <c r="L20" s="127">
        <f>L33</f>
        <v>324</v>
      </c>
      <c r="M20" s="130">
        <f>ROUND(L20*$G20,2)</f>
        <v>0</v>
      </c>
      <c r="N20" s="127">
        <f>N33</f>
        <v>50</v>
      </c>
      <c r="O20" s="130">
        <f t="shared" si="4"/>
        <v>0</v>
      </c>
      <c r="P20" s="127">
        <f>P33</f>
        <v>280</v>
      </c>
      <c r="Q20" s="130">
        <f t="shared" si="4"/>
        <v>0</v>
      </c>
      <c r="S20" s="49"/>
    </row>
    <row r="21" spans="2:19" ht="25.5">
      <c r="B21" s="11">
        <f>MAX(B$12:B20)+1</f>
        <v>9</v>
      </c>
      <c r="C21" s="14" t="s">
        <v>29</v>
      </c>
      <c r="D21" s="3" t="s">
        <v>122</v>
      </c>
      <c r="E21" s="5" t="s">
        <v>8</v>
      </c>
      <c r="F21" s="2">
        <v>350</v>
      </c>
      <c r="G21" s="2"/>
      <c r="H21" s="12">
        <f>G21*F21</f>
        <v>0</v>
      </c>
      <c r="J21" s="127">
        <f>J34</f>
        <v>68</v>
      </c>
      <c r="K21" s="130">
        <f>ROUND(J21*$G21,2)</f>
        <v>0</v>
      </c>
      <c r="L21" s="127">
        <f>L34</f>
        <v>282</v>
      </c>
      <c r="M21" s="130">
        <f>ROUND(L21*$G21,2)</f>
        <v>0</v>
      </c>
      <c r="N21" s="127">
        <v>0</v>
      </c>
      <c r="O21" s="130">
        <f t="shared" si="4"/>
        <v>0</v>
      </c>
      <c r="P21" s="127">
        <v>0</v>
      </c>
      <c r="Q21" s="130">
        <f t="shared" si="4"/>
        <v>0</v>
      </c>
      <c r="S21" s="49"/>
    </row>
    <row r="22" spans="2:20" ht="25.5">
      <c r="B22" s="11">
        <f>MAX(B$12:B21)+1</f>
        <v>10</v>
      </c>
      <c r="C22" s="14" t="s">
        <v>32</v>
      </c>
      <c r="D22" s="3" t="s">
        <v>37</v>
      </c>
      <c r="E22" s="5" t="s">
        <v>26</v>
      </c>
      <c r="F22" s="128">
        <f>1043+217</f>
        <v>1260</v>
      </c>
      <c r="G22" s="2"/>
      <c r="H22" s="12">
        <f>G22*F22</f>
        <v>0</v>
      </c>
      <c r="J22" s="127">
        <v>127</v>
      </c>
      <c r="K22" s="130">
        <f>ROUND(J22*$G22,2)</f>
        <v>0</v>
      </c>
      <c r="L22" s="127">
        <v>477</v>
      </c>
      <c r="M22" s="130">
        <f>ROUND(L22*$G22,2)</f>
        <v>0</v>
      </c>
      <c r="N22" s="127">
        <v>121</v>
      </c>
      <c r="O22" s="130">
        <f t="shared" si="4"/>
        <v>0</v>
      </c>
      <c r="P22" s="127">
        <v>535</v>
      </c>
      <c r="Q22" s="130">
        <f t="shared" si="4"/>
        <v>0</v>
      </c>
      <c r="S22" s="49"/>
      <c r="T22" s="49"/>
    </row>
    <row r="23" spans="2:19" ht="23.25" customHeight="1">
      <c r="B23" s="15" t="s">
        <v>13</v>
      </c>
      <c r="C23" s="16"/>
      <c r="D23" s="106" t="s">
        <v>27</v>
      </c>
      <c r="E23" s="101"/>
      <c r="F23" s="101"/>
      <c r="G23" s="17"/>
      <c r="H23" s="18"/>
      <c r="J23" s="129"/>
      <c r="K23" s="18"/>
      <c r="L23" s="17"/>
      <c r="M23" s="18"/>
      <c r="N23" s="17"/>
      <c r="O23" s="18"/>
      <c r="P23" s="17"/>
      <c r="Q23" s="18"/>
      <c r="S23" s="49"/>
    </row>
    <row r="24" spans="2:19" ht="24.75" customHeight="1">
      <c r="B24" s="11">
        <f>MAX(B$12:B23)+1</f>
        <v>11</v>
      </c>
      <c r="C24" s="4" t="s">
        <v>101</v>
      </c>
      <c r="D24" s="3" t="s">
        <v>100</v>
      </c>
      <c r="E24" s="5" t="s">
        <v>8</v>
      </c>
      <c r="F24" s="2">
        <v>2370</v>
      </c>
      <c r="G24" s="2"/>
      <c r="H24" s="12">
        <f>G24*F24</f>
        <v>0</v>
      </c>
      <c r="J24" s="127">
        <f>J30+J31</f>
        <v>0</v>
      </c>
      <c r="K24" s="130">
        <f>ROUND(J24*$G24,2)</f>
        <v>0</v>
      </c>
      <c r="L24" s="127">
        <f>L30+L31</f>
        <v>775</v>
      </c>
      <c r="M24" s="130">
        <f>ROUND(L24*$G24,2)</f>
        <v>0</v>
      </c>
      <c r="N24" s="127">
        <f>N30+N31</f>
        <v>375</v>
      </c>
      <c r="O24" s="130">
        <f aca="true" t="shared" si="5" ref="O24:Q27">ROUND(N24*$G24,2)</f>
        <v>0</v>
      </c>
      <c r="P24" s="127">
        <f>P30+P31</f>
        <v>1220</v>
      </c>
      <c r="Q24" s="130">
        <f t="shared" si="5"/>
        <v>0</v>
      </c>
      <c r="S24" s="49"/>
    </row>
    <row r="25" spans="2:19" ht="51">
      <c r="B25" s="11">
        <f>MAX(B$12:B24)+1</f>
        <v>12</v>
      </c>
      <c r="C25" s="4" t="s">
        <v>110</v>
      </c>
      <c r="D25" s="3" t="s">
        <v>113</v>
      </c>
      <c r="E25" s="5" t="s">
        <v>8</v>
      </c>
      <c r="F25" s="2">
        <v>1200</v>
      </c>
      <c r="G25" s="2"/>
      <c r="H25" s="12">
        <f>G25*F25</f>
        <v>0</v>
      </c>
      <c r="J25" s="127">
        <v>0</v>
      </c>
      <c r="K25" s="12">
        <f>ROUND(J25*$G25,2)</f>
        <v>0</v>
      </c>
      <c r="L25" s="127">
        <v>395</v>
      </c>
      <c r="M25" s="130">
        <f>ROUND(L25*$G25,2)</f>
        <v>0</v>
      </c>
      <c r="N25" s="127">
        <v>195</v>
      </c>
      <c r="O25" s="12">
        <f t="shared" si="5"/>
        <v>0</v>
      </c>
      <c r="P25" s="127">
        <v>610</v>
      </c>
      <c r="Q25" s="12">
        <f t="shared" si="5"/>
        <v>0</v>
      </c>
      <c r="S25" s="49"/>
    </row>
    <row r="26" spans="2:19" ht="114.75">
      <c r="B26" s="11">
        <f>MAX(B$12:B25)+1</f>
        <v>13</v>
      </c>
      <c r="C26" s="4" t="s">
        <v>40</v>
      </c>
      <c r="D26" s="3" t="s">
        <v>114</v>
      </c>
      <c r="E26" s="5" t="s">
        <v>8</v>
      </c>
      <c r="F26" s="2">
        <f>1060+90+1016</f>
        <v>2166</v>
      </c>
      <c r="G26" s="2"/>
      <c r="H26" s="12">
        <f>G26*F26</f>
        <v>0</v>
      </c>
      <c r="J26" s="127">
        <f>200</f>
        <v>200</v>
      </c>
      <c r="K26" s="12">
        <f>ROUND(J26*$G26,2)</f>
        <v>0</v>
      </c>
      <c r="L26" s="127">
        <f>130+395+140+28</f>
        <v>693</v>
      </c>
      <c r="M26" s="12">
        <f>ROUND(L26*$G26,2)</f>
        <v>0</v>
      </c>
      <c r="N26" s="127">
        <f>195+45</f>
        <v>240</v>
      </c>
      <c r="O26" s="12">
        <f t="shared" si="5"/>
        <v>0</v>
      </c>
      <c r="P26" s="127">
        <f>290+610+116+17</f>
        <v>1033</v>
      </c>
      <c r="Q26" s="12">
        <f t="shared" si="5"/>
        <v>0</v>
      </c>
      <c r="S26" s="49"/>
    </row>
    <row r="27" spans="2:19" ht="114.75">
      <c r="B27" s="11">
        <f>MAX(B$12:B26)+1</f>
        <v>14</v>
      </c>
      <c r="C27" s="4" t="s">
        <v>41</v>
      </c>
      <c r="D27" s="3" t="s">
        <v>111</v>
      </c>
      <c r="E27" s="5" t="s">
        <v>8</v>
      </c>
      <c r="F27" s="2">
        <f>330+440+350+290+280</f>
        <v>1690</v>
      </c>
      <c r="G27" s="2"/>
      <c r="H27" s="12">
        <f>G27*F27</f>
        <v>0</v>
      </c>
      <c r="J27" s="127">
        <f>200+66+68</f>
        <v>334</v>
      </c>
      <c r="K27" s="130">
        <f>ROUND(J27*$G27,2)</f>
        <v>0</v>
      </c>
      <c r="L27" s="127">
        <f>130+324+282</f>
        <v>736</v>
      </c>
      <c r="M27" s="130">
        <f>ROUND(L27*$G27,2)</f>
        <v>0</v>
      </c>
      <c r="N27" s="127">
        <f>50</f>
        <v>50</v>
      </c>
      <c r="O27" s="130">
        <f t="shared" si="5"/>
        <v>0</v>
      </c>
      <c r="P27" s="127">
        <f>290+280</f>
        <v>570</v>
      </c>
      <c r="Q27" s="130">
        <f t="shared" si="5"/>
        <v>0</v>
      </c>
      <c r="S27" s="49"/>
    </row>
    <row r="28" spans="2:19" ht="23.25" customHeight="1">
      <c r="B28" s="15" t="s">
        <v>17</v>
      </c>
      <c r="C28" s="16"/>
      <c r="D28" s="106" t="s">
        <v>28</v>
      </c>
      <c r="E28" s="101"/>
      <c r="F28" s="101"/>
      <c r="G28" s="17"/>
      <c r="H28" s="18"/>
      <c r="J28" s="129"/>
      <c r="K28" s="18"/>
      <c r="L28" s="129"/>
      <c r="M28" s="18"/>
      <c r="N28" s="129"/>
      <c r="O28" s="18"/>
      <c r="P28" s="129"/>
      <c r="Q28" s="18"/>
      <c r="S28" s="49"/>
    </row>
    <row r="29" spans="2:19" ht="63.75">
      <c r="B29" s="11">
        <f>MAX(B$12:B28)+1</f>
        <v>15</v>
      </c>
      <c r="C29" s="4" t="s">
        <v>97</v>
      </c>
      <c r="D29" s="3" t="s">
        <v>90</v>
      </c>
      <c r="E29" s="5" t="s">
        <v>8</v>
      </c>
      <c r="F29" s="2">
        <v>330</v>
      </c>
      <c r="G29" s="2"/>
      <c r="H29" s="12">
        <f aca="true" t="shared" si="6" ref="H29:H34">G29*F29</f>
        <v>0</v>
      </c>
      <c r="J29" s="127">
        <v>200</v>
      </c>
      <c r="K29" s="130">
        <f aca="true" t="shared" si="7" ref="K29:K34">ROUND(J29*$G29,2)</f>
        <v>0</v>
      </c>
      <c r="L29" s="127">
        <v>130</v>
      </c>
      <c r="M29" s="130">
        <f aca="true" t="shared" si="8" ref="M29:M34">ROUND(L29*$G29,2)</f>
        <v>0</v>
      </c>
      <c r="N29" s="127">
        <v>0</v>
      </c>
      <c r="O29" s="130">
        <f aca="true" t="shared" si="9" ref="O29:Q34">ROUND(N29*$G29,2)</f>
        <v>0</v>
      </c>
      <c r="P29" s="127">
        <v>0</v>
      </c>
      <c r="Q29" s="130">
        <f t="shared" si="9"/>
        <v>0</v>
      </c>
      <c r="S29" s="49"/>
    </row>
    <row r="30" spans="2:19" ht="51">
      <c r="B30" s="11">
        <f>MAX(B$12:B29)+1</f>
        <v>16</v>
      </c>
      <c r="C30" s="4" t="s">
        <v>99</v>
      </c>
      <c r="D30" s="3" t="s">
        <v>89</v>
      </c>
      <c r="E30" s="5" t="s">
        <v>8</v>
      </c>
      <c r="F30" s="2">
        <v>1190</v>
      </c>
      <c r="G30" s="2"/>
      <c r="H30" s="12">
        <f t="shared" si="6"/>
        <v>0</v>
      </c>
      <c r="J30" s="127">
        <v>0</v>
      </c>
      <c r="K30" s="130">
        <f t="shared" si="7"/>
        <v>0</v>
      </c>
      <c r="L30" s="127">
        <v>390</v>
      </c>
      <c r="M30" s="130">
        <f t="shared" si="8"/>
        <v>0</v>
      </c>
      <c r="N30" s="127">
        <v>190</v>
      </c>
      <c r="O30" s="130">
        <f t="shared" si="9"/>
        <v>0</v>
      </c>
      <c r="P30" s="127">
        <v>610</v>
      </c>
      <c r="Q30" s="130">
        <f t="shared" si="9"/>
        <v>0</v>
      </c>
      <c r="S30" s="49"/>
    </row>
    <row r="31" spans="2:19" ht="51">
      <c r="B31" s="11">
        <f>MAX(B$12:B30)+1</f>
        <v>17</v>
      </c>
      <c r="C31" s="4" t="s">
        <v>98</v>
      </c>
      <c r="D31" s="131" t="s">
        <v>165</v>
      </c>
      <c r="E31" s="5" t="s">
        <v>8</v>
      </c>
      <c r="F31" s="2">
        <v>1180</v>
      </c>
      <c r="G31" s="2"/>
      <c r="H31" s="12">
        <f t="shared" si="6"/>
        <v>0</v>
      </c>
      <c r="J31" s="127">
        <v>0</v>
      </c>
      <c r="K31" s="12">
        <f t="shared" si="7"/>
        <v>0</v>
      </c>
      <c r="L31" s="127">
        <v>385</v>
      </c>
      <c r="M31" s="12">
        <f t="shared" si="8"/>
        <v>0</v>
      </c>
      <c r="N31" s="127">
        <v>185</v>
      </c>
      <c r="O31" s="12">
        <f t="shared" si="9"/>
        <v>0</v>
      </c>
      <c r="P31" s="127">
        <v>610</v>
      </c>
      <c r="Q31" s="12">
        <f t="shared" si="9"/>
        <v>0</v>
      </c>
      <c r="S31" s="49"/>
    </row>
    <row r="32" spans="2:19" ht="51">
      <c r="B32" s="11">
        <f>MAX(B$12:B31)+1</f>
        <v>18</v>
      </c>
      <c r="C32" s="4" t="s">
        <v>24</v>
      </c>
      <c r="D32" s="3" t="s">
        <v>102</v>
      </c>
      <c r="E32" s="5" t="s">
        <v>8</v>
      </c>
      <c r="F32" s="2">
        <v>290</v>
      </c>
      <c r="G32" s="2"/>
      <c r="H32" s="12">
        <f t="shared" si="6"/>
        <v>0</v>
      </c>
      <c r="J32" s="127">
        <v>0</v>
      </c>
      <c r="K32" s="130">
        <f t="shared" si="7"/>
        <v>0</v>
      </c>
      <c r="L32" s="127">
        <v>0</v>
      </c>
      <c r="M32" s="130">
        <f t="shared" si="8"/>
        <v>0</v>
      </c>
      <c r="N32" s="127">
        <v>0</v>
      </c>
      <c r="O32" s="130">
        <f t="shared" si="9"/>
        <v>0</v>
      </c>
      <c r="P32" s="127">
        <v>290</v>
      </c>
      <c r="Q32" s="130">
        <f t="shared" si="9"/>
        <v>0</v>
      </c>
      <c r="S32" s="49"/>
    </row>
    <row r="33" spans="2:19" ht="89.25">
      <c r="B33" s="11">
        <f>MAX(B$12:B32)+1</f>
        <v>19</v>
      </c>
      <c r="C33" s="4" t="s">
        <v>24</v>
      </c>
      <c r="D33" s="131" t="s">
        <v>164</v>
      </c>
      <c r="E33" s="5" t="s">
        <v>8</v>
      </c>
      <c r="F33" s="2">
        <f>440+280</f>
        <v>720</v>
      </c>
      <c r="G33" s="2"/>
      <c r="H33" s="12">
        <f t="shared" si="6"/>
        <v>0</v>
      </c>
      <c r="J33" s="127">
        <v>66</v>
      </c>
      <c r="K33" s="130">
        <f t="shared" si="7"/>
        <v>0</v>
      </c>
      <c r="L33" s="127">
        <v>324</v>
      </c>
      <c r="M33" s="130">
        <f t="shared" si="8"/>
        <v>0</v>
      </c>
      <c r="N33" s="127">
        <v>50</v>
      </c>
      <c r="O33" s="130">
        <f t="shared" si="9"/>
        <v>0</v>
      </c>
      <c r="P33" s="127">
        <v>280</v>
      </c>
      <c r="Q33" s="130">
        <f t="shared" si="9"/>
        <v>0</v>
      </c>
      <c r="S33" s="49"/>
    </row>
    <row r="34" spans="2:19" ht="38.25">
      <c r="B34" s="11">
        <f>MAX(B$12:B33)+1</f>
        <v>20</v>
      </c>
      <c r="C34" s="4" t="s">
        <v>97</v>
      </c>
      <c r="D34" s="3" t="s">
        <v>103</v>
      </c>
      <c r="E34" s="5" t="s">
        <v>8</v>
      </c>
      <c r="F34" s="2">
        <v>350</v>
      </c>
      <c r="G34" s="2"/>
      <c r="H34" s="12">
        <f t="shared" si="6"/>
        <v>0</v>
      </c>
      <c r="J34" s="127">
        <v>68</v>
      </c>
      <c r="K34" s="130">
        <f t="shared" si="7"/>
        <v>0</v>
      </c>
      <c r="L34" s="127">
        <v>282</v>
      </c>
      <c r="M34" s="130">
        <f t="shared" si="8"/>
        <v>0</v>
      </c>
      <c r="N34" s="127">
        <v>0</v>
      </c>
      <c r="O34" s="130">
        <f t="shared" si="9"/>
        <v>0</v>
      </c>
      <c r="P34" s="127">
        <v>0</v>
      </c>
      <c r="Q34" s="130">
        <f t="shared" si="9"/>
        <v>0</v>
      </c>
      <c r="S34" s="49"/>
    </row>
    <row r="35" spans="2:19" ht="23.25" customHeight="1">
      <c r="B35" s="15" t="s">
        <v>19</v>
      </c>
      <c r="C35" s="16"/>
      <c r="D35" s="106" t="s">
        <v>18</v>
      </c>
      <c r="E35" s="101"/>
      <c r="F35" s="101"/>
      <c r="G35" s="17"/>
      <c r="H35" s="18"/>
      <c r="J35" s="129"/>
      <c r="K35" s="18"/>
      <c r="L35" s="129"/>
      <c r="M35" s="18"/>
      <c r="N35" s="129"/>
      <c r="O35" s="18"/>
      <c r="P35" s="129"/>
      <c r="Q35" s="18"/>
      <c r="S35" s="49"/>
    </row>
    <row r="36" spans="2:19" ht="76.5">
      <c r="B36" s="11">
        <f>MAX(B$12:B35)+1</f>
        <v>21</v>
      </c>
      <c r="C36" s="4" t="s">
        <v>104</v>
      </c>
      <c r="D36" s="131" t="s">
        <v>106</v>
      </c>
      <c r="E36" s="5" t="s">
        <v>9</v>
      </c>
      <c r="F36" s="2">
        <f>54+137</f>
        <v>191</v>
      </c>
      <c r="G36" s="2"/>
      <c r="H36" s="12">
        <f>G36*F36</f>
        <v>0</v>
      </c>
      <c r="J36" s="127">
        <v>27</v>
      </c>
      <c r="K36" s="130">
        <f>ROUND(J36*$G36,2)</f>
        <v>0</v>
      </c>
      <c r="L36" s="127">
        <v>27</v>
      </c>
      <c r="M36" s="130">
        <f>ROUND(L36*$G36,2)</f>
        <v>0</v>
      </c>
      <c r="N36" s="127">
        <v>0</v>
      </c>
      <c r="O36" s="130">
        <f aca="true" t="shared" si="10" ref="O36:Q40">ROUND(N36*$G36,2)</f>
        <v>0</v>
      </c>
      <c r="P36" s="127">
        <v>137</v>
      </c>
      <c r="Q36" s="130">
        <f t="shared" si="10"/>
        <v>0</v>
      </c>
      <c r="S36" s="49"/>
    </row>
    <row r="37" spans="2:19" ht="63.75">
      <c r="B37" s="11">
        <f>MAX(B$12:B36)+1</f>
        <v>22</v>
      </c>
      <c r="C37" s="4" t="s">
        <v>104</v>
      </c>
      <c r="D37" s="131" t="s">
        <v>161</v>
      </c>
      <c r="E37" s="5" t="s">
        <v>9</v>
      </c>
      <c r="F37" s="2">
        <v>306</v>
      </c>
      <c r="G37" s="2"/>
      <c r="H37" s="12">
        <f>G37*F37</f>
        <v>0</v>
      </c>
      <c r="J37" s="127">
        <v>58</v>
      </c>
      <c r="K37" s="130">
        <f>ROUND(J37*$G37,2)</f>
        <v>0</v>
      </c>
      <c r="L37" s="127">
        <v>136</v>
      </c>
      <c r="M37" s="130">
        <f>ROUND(L37*$G37,2)</f>
        <v>0</v>
      </c>
      <c r="N37" s="127">
        <v>0</v>
      </c>
      <c r="O37" s="130">
        <f t="shared" si="10"/>
        <v>0</v>
      </c>
      <c r="P37" s="127">
        <v>112</v>
      </c>
      <c r="Q37" s="130">
        <f t="shared" si="10"/>
        <v>0</v>
      </c>
      <c r="S37" s="49"/>
    </row>
    <row r="38" spans="2:19" ht="63.75">
      <c r="B38" s="11">
        <f>MAX(B$12:B37)+1</f>
        <v>23</v>
      </c>
      <c r="C38" s="4" t="s">
        <v>104</v>
      </c>
      <c r="D38" s="3" t="s">
        <v>107</v>
      </c>
      <c r="E38" s="5" t="s">
        <v>9</v>
      </c>
      <c r="F38" s="2">
        <f>53+134</f>
        <v>187</v>
      </c>
      <c r="G38" s="2"/>
      <c r="H38" s="12">
        <f>G38*F38</f>
        <v>0</v>
      </c>
      <c r="J38" s="127">
        <v>0</v>
      </c>
      <c r="K38" s="130">
        <f>ROUND(J38*$G38,2)</f>
        <v>0</v>
      </c>
      <c r="L38" s="127">
        <v>53</v>
      </c>
      <c r="M38" s="130">
        <f>ROUND(L38*$G38,2)</f>
        <v>0</v>
      </c>
      <c r="N38" s="127">
        <v>0</v>
      </c>
      <c r="O38" s="130">
        <f t="shared" si="10"/>
        <v>0</v>
      </c>
      <c r="P38" s="127">
        <v>134</v>
      </c>
      <c r="Q38" s="130">
        <f t="shared" si="10"/>
        <v>0</v>
      </c>
      <c r="S38" s="49"/>
    </row>
    <row r="39" spans="2:19" ht="51">
      <c r="B39" s="11">
        <f>MAX(B$12:B38)+1</f>
        <v>24</v>
      </c>
      <c r="C39" s="4" t="s">
        <v>105</v>
      </c>
      <c r="D39" s="131" t="s">
        <v>162</v>
      </c>
      <c r="E39" s="5" t="s">
        <v>9</v>
      </c>
      <c r="F39" s="2">
        <v>384</v>
      </c>
      <c r="G39" s="2"/>
      <c r="H39" s="12">
        <f>G39*F39</f>
        <v>0</v>
      </c>
      <c r="J39" s="127">
        <v>42</v>
      </c>
      <c r="K39" s="130">
        <f>ROUND(J39*$G39,2)</f>
        <v>0</v>
      </c>
      <c r="L39" s="127">
        <v>146</v>
      </c>
      <c r="M39" s="130">
        <f>ROUND(L39*$G39,2)</f>
        <v>0</v>
      </c>
      <c r="N39" s="127">
        <v>43</v>
      </c>
      <c r="O39" s="130">
        <f t="shared" si="10"/>
        <v>0</v>
      </c>
      <c r="P39" s="127">
        <v>153</v>
      </c>
      <c r="Q39" s="12">
        <f t="shared" si="10"/>
        <v>0</v>
      </c>
      <c r="S39" s="49"/>
    </row>
    <row r="40" spans="2:19" ht="76.5">
      <c r="B40" s="11">
        <f>MAX(B$12:B39)+1</f>
        <v>25</v>
      </c>
      <c r="C40" s="4" t="s">
        <v>108</v>
      </c>
      <c r="D40" s="131" t="s">
        <v>163</v>
      </c>
      <c r="E40" s="5" t="s">
        <v>9</v>
      </c>
      <c r="F40" s="2">
        <v>92</v>
      </c>
      <c r="G40" s="2"/>
      <c r="H40" s="12">
        <f>G40*F40</f>
        <v>0</v>
      </c>
      <c r="J40" s="127">
        <v>0</v>
      </c>
      <c r="K40" s="130">
        <f>ROUND(J40*$G40,2)</f>
        <v>0</v>
      </c>
      <c r="L40" s="127">
        <v>31</v>
      </c>
      <c r="M40" s="130">
        <f>ROUND(L40*$G40,2)</f>
        <v>0</v>
      </c>
      <c r="N40" s="127">
        <v>44</v>
      </c>
      <c r="O40" s="130">
        <f t="shared" si="10"/>
        <v>0</v>
      </c>
      <c r="P40" s="127">
        <v>17</v>
      </c>
      <c r="Q40" s="130">
        <f t="shared" si="10"/>
        <v>0</v>
      </c>
      <c r="S40" s="49"/>
    </row>
    <row r="41" spans="2:19" ht="25.5" customHeight="1">
      <c r="B41" s="15" t="s">
        <v>36</v>
      </c>
      <c r="C41" s="16"/>
      <c r="D41" s="106" t="s">
        <v>70</v>
      </c>
      <c r="E41" s="108"/>
      <c r="F41" s="108"/>
      <c r="G41" s="17"/>
      <c r="H41" s="18"/>
      <c r="J41" s="129"/>
      <c r="K41" s="18"/>
      <c r="L41" s="129"/>
      <c r="M41" s="18"/>
      <c r="N41" s="129"/>
      <c r="O41" s="18"/>
      <c r="P41" s="129"/>
      <c r="Q41" s="18"/>
      <c r="S41" s="49"/>
    </row>
    <row r="42" spans="2:19" ht="25.5">
      <c r="B42" s="11">
        <f>MAX(B$12:B41)+1</f>
        <v>26</v>
      </c>
      <c r="C42" s="4" t="s">
        <v>42</v>
      </c>
      <c r="D42" s="103" t="s">
        <v>38</v>
      </c>
      <c r="E42" s="5" t="s">
        <v>8</v>
      </c>
      <c r="F42" s="2">
        <v>4</v>
      </c>
      <c r="G42" s="2"/>
      <c r="H42" s="12">
        <f>G42*F42</f>
        <v>0</v>
      </c>
      <c r="J42" s="127">
        <v>4</v>
      </c>
      <c r="K42" s="130">
        <f>ROUND(J42*$G42,2)</f>
        <v>0</v>
      </c>
      <c r="L42" s="127">
        <v>0</v>
      </c>
      <c r="M42" s="130">
        <f>ROUND(L42*$G42,2)</f>
        <v>0</v>
      </c>
      <c r="N42" s="127">
        <v>0</v>
      </c>
      <c r="O42" s="130">
        <f aca="true" t="shared" si="11" ref="O42:Q47">ROUND(N42*$G42,2)</f>
        <v>0</v>
      </c>
      <c r="P42" s="127">
        <v>0</v>
      </c>
      <c r="Q42" s="130">
        <f t="shared" si="11"/>
        <v>0</v>
      </c>
      <c r="S42" s="49"/>
    </row>
    <row r="43" spans="2:19" ht="25.5">
      <c r="B43" s="11">
        <f>MAX(B$12:B42)+1</f>
        <v>27</v>
      </c>
      <c r="C43" s="4" t="s">
        <v>30</v>
      </c>
      <c r="D43" s="103" t="s">
        <v>124</v>
      </c>
      <c r="E43" s="5" t="s">
        <v>10</v>
      </c>
      <c r="F43" s="2">
        <v>5</v>
      </c>
      <c r="G43" s="2"/>
      <c r="H43" s="12">
        <f>G43*F43</f>
        <v>0</v>
      </c>
      <c r="J43" s="127">
        <v>1</v>
      </c>
      <c r="K43" s="130">
        <f>ROUND(J43*$G43,2)</f>
        <v>0</v>
      </c>
      <c r="L43" s="127">
        <v>1</v>
      </c>
      <c r="M43" s="130">
        <f>ROUND(L43*$G43,2)</f>
        <v>0</v>
      </c>
      <c r="N43" s="127">
        <v>0</v>
      </c>
      <c r="O43" s="130">
        <f t="shared" si="11"/>
        <v>0</v>
      </c>
      <c r="P43" s="127">
        <v>3</v>
      </c>
      <c r="Q43" s="130">
        <f t="shared" si="11"/>
        <v>0</v>
      </c>
      <c r="S43" s="49"/>
    </row>
    <row r="44" spans="2:19" ht="23.25" customHeight="1">
      <c r="B44" s="15" t="s">
        <v>115</v>
      </c>
      <c r="C44" s="16"/>
      <c r="D44" s="106" t="s">
        <v>20</v>
      </c>
      <c r="E44" s="101"/>
      <c r="F44" s="101"/>
      <c r="G44" s="17"/>
      <c r="H44" s="18"/>
      <c r="J44" s="129"/>
      <c r="K44" s="18"/>
      <c r="L44" s="129"/>
      <c r="M44" s="18"/>
      <c r="N44" s="129"/>
      <c r="O44" s="18"/>
      <c r="P44" s="129"/>
      <c r="Q44" s="18"/>
      <c r="S44" s="49"/>
    </row>
    <row r="45" spans="2:19" ht="51">
      <c r="B45" s="11">
        <f>MAX(B$12:B44)+1</f>
        <v>28</v>
      </c>
      <c r="C45" s="4" t="s">
        <v>31</v>
      </c>
      <c r="D45" s="3" t="s">
        <v>43</v>
      </c>
      <c r="E45" s="5" t="s">
        <v>8</v>
      </c>
      <c r="F45" s="2">
        <v>550</v>
      </c>
      <c r="G45" s="2"/>
      <c r="H45" s="12">
        <f>G45*F45</f>
        <v>0</v>
      </c>
      <c r="J45" s="127">
        <v>0</v>
      </c>
      <c r="K45" s="130">
        <f>ROUND(J45*$G45,2)</f>
        <v>0</v>
      </c>
      <c r="L45" s="127">
        <v>50</v>
      </c>
      <c r="M45" s="130">
        <f>ROUND(L45*$G45,2)</f>
        <v>0</v>
      </c>
      <c r="N45" s="127">
        <v>80</v>
      </c>
      <c r="O45" s="130">
        <f t="shared" si="11"/>
        <v>0</v>
      </c>
      <c r="P45" s="127">
        <v>420</v>
      </c>
      <c r="Q45" s="130">
        <f t="shared" si="11"/>
        <v>0</v>
      </c>
      <c r="S45" s="49"/>
    </row>
    <row r="46" spans="2:19" ht="25.5">
      <c r="B46" s="11">
        <f>MAX(B$12:B45)+1</f>
        <v>29</v>
      </c>
      <c r="C46" s="4" t="s">
        <v>39</v>
      </c>
      <c r="D46" s="3" t="s">
        <v>34</v>
      </c>
      <c r="E46" s="5" t="s">
        <v>25</v>
      </c>
      <c r="F46" s="2">
        <v>12</v>
      </c>
      <c r="G46" s="2"/>
      <c r="H46" s="12">
        <f>G46*F46</f>
        <v>0</v>
      </c>
      <c r="J46" s="127">
        <v>2</v>
      </c>
      <c r="K46" s="130">
        <f>ROUND(J46*$G46,2)</f>
        <v>0</v>
      </c>
      <c r="L46" s="127">
        <v>4</v>
      </c>
      <c r="M46" s="130">
        <f>ROUND(L46*$G46,2)</f>
        <v>0</v>
      </c>
      <c r="N46" s="127">
        <v>1</v>
      </c>
      <c r="O46" s="130">
        <f t="shared" si="11"/>
        <v>0</v>
      </c>
      <c r="P46" s="127">
        <v>5</v>
      </c>
      <c r="Q46" s="130">
        <f t="shared" si="11"/>
        <v>0</v>
      </c>
      <c r="S46" s="49"/>
    </row>
    <row r="47" spans="2:19" ht="12.75">
      <c r="B47" s="11">
        <f>MAX(B$12:B46)+1</f>
        <v>30</v>
      </c>
      <c r="C47" s="4" t="s">
        <v>39</v>
      </c>
      <c r="D47" s="3" t="s">
        <v>109</v>
      </c>
      <c r="E47" s="5" t="s">
        <v>10</v>
      </c>
      <c r="F47" s="2">
        <v>16</v>
      </c>
      <c r="G47" s="2"/>
      <c r="H47" s="12">
        <f>G47*F47</f>
        <v>0</v>
      </c>
      <c r="J47" s="127">
        <v>0</v>
      </c>
      <c r="K47" s="130">
        <f>ROUND(J47*$G47,2)</f>
        <v>0</v>
      </c>
      <c r="L47" s="127">
        <v>7</v>
      </c>
      <c r="M47" s="130">
        <f>ROUND(L47*$G47,2)</f>
        <v>0</v>
      </c>
      <c r="N47" s="127">
        <v>2</v>
      </c>
      <c r="O47" s="130">
        <f t="shared" si="11"/>
        <v>0</v>
      </c>
      <c r="P47" s="127">
        <v>7</v>
      </c>
      <c r="Q47" s="130">
        <f t="shared" si="11"/>
        <v>0</v>
      </c>
      <c r="S47" s="49"/>
    </row>
    <row r="48" spans="2:17" ht="32.25" customHeight="1" thickBot="1">
      <c r="B48" s="19"/>
      <c r="C48" s="20"/>
      <c r="D48" s="21"/>
      <c r="E48" s="22"/>
      <c r="F48" s="23"/>
      <c r="G48" s="24" t="s">
        <v>11</v>
      </c>
      <c r="H48" s="13">
        <f>SUM(H12:H47)</f>
        <v>0</v>
      </c>
      <c r="J48" s="24"/>
      <c r="K48" s="13">
        <f>SUM(K12:K47)</f>
        <v>0</v>
      </c>
      <c r="L48" s="24"/>
      <c r="M48" s="13">
        <f>SUM(M12:M47)</f>
        <v>0</v>
      </c>
      <c r="N48" s="24"/>
      <c r="O48" s="13">
        <f>SUM(O12:O47)</f>
        <v>0</v>
      </c>
      <c r="P48" s="24"/>
      <c r="Q48" s="13">
        <f>SUM(Q12:Q47)</f>
        <v>0</v>
      </c>
    </row>
    <row r="49" ht="13.5" thickTop="1"/>
  </sheetData>
  <sheetProtection/>
  <mergeCells count="9">
    <mergeCell ref="P7:Q7"/>
    <mergeCell ref="P6:Q6"/>
    <mergeCell ref="B5:H5"/>
    <mergeCell ref="B3:H3"/>
    <mergeCell ref="D7:F7"/>
    <mergeCell ref="J7:K7"/>
    <mergeCell ref="L7:M7"/>
    <mergeCell ref="N7:O7"/>
    <mergeCell ref="L6:M6"/>
  </mergeCells>
  <printOptions/>
  <pageMargins left="0.93" right="0.35" top="0.35" bottom="0.56" header="0.35" footer="0.5"/>
  <pageSetup fitToHeight="0" fitToWidth="1" horizontalDpi="600" verticalDpi="600" orientation="landscape" paperSize="9" r:id="rId1"/>
  <ignoredErrors>
    <ignoredError sqref="K24:Q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7"/>
  <sheetViews>
    <sheetView zoomScalePageLayoutView="0" workbookViewId="0" topLeftCell="A34">
      <selection activeCell="A1" sqref="A1:M48"/>
    </sheetView>
  </sheetViews>
  <sheetFormatPr defaultColWidth="9.00390625" defaultRowHeight="12.75"/>
  <cols>
    <col min="2" max="2" width="7.125" style="0" customWidth="1"/>
    <col min="3" max="3" width="12.625" style="0" customWidth="1"/>
    <col min="4" max="4" width="33.625" style="0" customWidth="1"/>
    <col min="5" max="5" width="7.75390625" style="0" customWidth="1"/>
    <col min="6" max="6" width="12.00390625" style="0" customWidth="1"/>
    <col min="7" max="7" width="13.125" style="0" customWidth="1"/>
    <col min="8" max="8" width="14.125" style="0" customWidth="1"/>
    <col min="10" max="10" width="13.125" style="0" customWidth="1"/>
    <col min="11" max="11" width="14.125" style="0" customWidth="1"/>
    <col min="12" max="12" width="13.125" style="0" customWidth="1"/>
    <col min="13" max="13" width="14.125" style="0" customWidth="1"/>
  </cols>
  <sheetData>
    <row r="3" spans="2:8" ht="41.25" customHeight="1">
      <c r="B3" s="152" t="s">
        <v>92</v>
      </c>
      <c r="C3" s="153"/>
      <c r="D3" s="153"/>
      <c r="E3" s="153"/>
      <c r="F3" s="153"/>
      <c r="G3" s="153"/>
      <c r="H3" s="153"/>
    </row>
    <row r="5" spans="2:8" ht="12.75">
      <c r="B5" s="154" t="s">
        <v>186</v>
      </c>
      <c r="C5" s="154"/>
      <c r="D5" s="154"/>
      <c r="E5" s="154"/>
      <c r="F5" s="154"/>
      <c r="G5" s="154"/>
      <c r="H5" s="154"/>
    </row>
    <row r="6" spans="10:11" ht="12.75">
      <c r="J6" s="162" t="s">
        <v>166</v>
      </c>
      <c r="K6" s="163"/>
    </row>
    <row r="7" spans="4:13" ht="12.75">
      <c r="D7" s="154" t="s">
        <v>138</v>
      </c>
      <c r="E7" s="154"/>
      <c r="F7" s="154"/>
      <c r="J7" s="161" t="s">
        <v>159</v>
      </c>
      <c r="K7" s="161"/>
      <c r="L7" s="161" t="s">
        <v>159</v>
      </c>
      <c r="M7" s="161"/>
    </row>
    <row r="8" spans="10:15" ht="13.5" thickBot="1">
      <c r="J8" s="126">
        <f>'1. Drogi  - E1'!Q8</f>
        <v>166.78</v>
      </c>
      <c r="K8" s="126">
        <f>307.31</f>
        <v>307.31</v>
      </c>
      <c r="L8" s="126">
        <f>K8</f>
        <v>307.31</v>
      </c>
      <c r="M8" s="126">
        <v>427.72</v>
      </c>
      <c r="O8" s="133"/>
    </row>
    <row r="9" spans="2:13" ht="21.75" customHeight="1" thickTop="1">
      <c r="B9" s="6" t="s">
        <v>1</v>
      </c>
      <c r="C9" s="7" t="s">
        <v>64</v>
      </c>
      <c r="D9" s="7" t="s">
        <v>2</v>
      </c>
      <c r="E9" s="7" t="s">
        <v>3</v>
      </c>
      <c r="F9" s="7" t="s">
        <v>4</v>
      </c>
      <c r="G9" s="7" t="s">
        <v>5</v>
      </c>
      <c r="H9" s="8" t="s">
        <v>6</v>
      </c>
      <c r="J9" s="7" t="s">
        <v>4</v>
      </c>
      <c r="K9" s="8" t="s">
        <v>6</v>
      </c>
      <c r="L9" s="7" t="s">
        <v>4</v>
      </c>
      <c r="M9" s="8" t="s">
        <v>6</v>
      </c>
    </row>
    <row r="10" spans="2:13" ht="12.75">
      <c r="B10" s="9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0">
        <v>7</v>
      </c>
      <c r="J10" s="1">
        <v>6</v>
      </c>
      <c r="K10" s="10">
        <v>7</v>
      </c>
      <c r="L10" s="1">
        <v>6</v>
      </c>
      <c r="M10" s="10">
        <v>7</v>
      </c>
    </row>
    <row r="11" spans="2:13" ht="27" customHeight="1">
      <c r="B11" s="15" t="s">
        <v>0</v>
      </c>
      <c r="C11" s="16"/>
      <c r="D11" s="106" t="s">
        <v>15</v>
      </c>
      <c r="E11" s="108"/>
      <c r="F11" s="108"/>
      <c r="G11" s="17"/>
      <c r="H11" s="18"/>
      <c r="J11" s="17"/>
      <c r="K11" s="18"/>
      <c r="L11" s="17"/>
      <c r="M11" s="18"/>
    </row>
    <row r="12" spans="2:15" ht="25.5">
      <c r="B12" s="11">
        <v>1</v>
      </c>
      <c r="C12" s="4" t="s">
        <v>21</v>
      </c>
      <c r="D12" s="3" t="s">
        <v>123</v>
      </c>
      <c r="E12" s="5" t="s">
        <v>7</v>
      </c>
      <c r="F12" s="2">
        <v>0.26</v>
      </c>
      <c r="G12" s="2"/>
      <c r="H12" s="12">
        <f aca="true" t="shared" si="0" ref="H12:H17">G12*F12</f>
        <v>0</v>
      </c>
      <c r="J12" s="127">
        <v>0.14</v>
      </c>
      <c r="K12" s="12">
        <f aca="true" t="shared" si="1" ref="K12:K17">ROUND(J12*$G12,2)</f>
        <v>0</v>
      </c>
      <c r="L12" s="127">
        <v>0.12</v>
      </c>
      <c r="M12" s="12">
        <f aca="true" t="shared" si="2" ref="M12:M17">ROUND(L12*$G12,2)</f>
        <v>0</v>
      </c>
      <c r="O12" s="49"/>
    </row>
    <row r="13" spans="2:15" ht="34.5" customHeight="1">
      <c r="B13" s="11">
        <f>MAX(B12:B$12)+1</f>
        <v>2</v>
      </c>
      <c r="C13" s="4" t="s">
        <v>33</v>
      </c>
      <c r="D13" s="3" t="s">
        <v>35</v>
      </c>
      <c r="E13" s="5" t="s">
        <v>8</v>
      </c>
      <c r="F13" s="107">
        <v>1030</v>
      </c>
      <c r="G13" s="2"/>
      <c r="H13" s="12">
        <f t="shared" si="0"/>
        <v>0</v>
      </c>
      <c r="J13" s="127">
        <v>320</v>
      </c>
      <c r="K13" s="12">
        <f t="shared" si="1"/>
        <v>0</v>
      </c>
      <c r="L13" s="127">
        <v>710</v>
      </c>
      <c r="M13" s="12">
        <f t="shared" si="2"/>
        <v>0</v>
      </c>
      <c r="O13" s="49"/>
    </row>
    <row r="14" spans="2:15" ht="51">
      <c r="B14" s="11">
        <f>MAX(B$12:B13)+1</f>
        <v>3</v>
      </c>
      <c r="C14" s="4" t="s">
        <v>22</v>
      </c>
      <c r="D14" s="3" t="s">
        <v>137</v>
      </c>
      <c r="E14" s="5" t="s">
        <v>8</v>
      </c>
      <c r="F14" s="107">
        <v>600</v>
      </c>
      <c r="G14" s="2"/>
      <c r="H14" s="12">
        <f t="shared" si="0"/>
        <v>0</v>
      </c>
      <c r="J14" s="127">
        <v>450</v>
      </c>
      <c r="K14" s="130">
        <f t="shared" si="1"/>
        <v>0</v>
      </c>
      <c r="L14" s="127">
        <v>150</v>
      </c>
      <c r="M14" s="12">
        <f t="shared" si="2"/>
        <v>0</v>
      </c>
      <c r="O14" s="49"/>
    </row>
    <row r="15" spans="2:15" ht="63.75">
      <c r="B15" s="11">
        <f>MAX(B$12:B14)+1</f>
        <v>4</v>
      </c>
      <c r="C15" s="4" t="s">
        <v>22</v>
      </c>
      <c r="D15" s="3" t="s">
        <v>117</v>
      </c>
      <c r="E15" s="5" t="s">
        <v>8</v>
      </c>
      <c r="F15" s="107">
        <v>310</v>
      </c>
      <c r="G15" s="2"/>
      <c r="H15" s="12">
        <f t="shared" si="0"/>
        <v>0</v>
      </c>
      <c r="J15" s="127">
        <v>310</v>
      </c>
      <c r="K15" s="12">
        <f t="shared" si="1"/>
        <v>0</v>
      </c>
      <c r="L15" s="127">
        <v>0</v>
      </c>
      <c r="M15" s="12">
        <f t="shared" si="2"/>
        <v>0</v>
      </c>
      <c r="O15" s="49"/>
    </row>
    <row r="16" spans="2:15" ht="42.75" customHeight="1">
      <c r="B16" s="11">
        <f>MAX(B$12:B15)+1</f>
        <v>5</v>
      </c>
      <c r="C16" s="4" t="s">
        <v>22</v>
      </c>
      <c r="D16" s="3" t="s">
        <v>118</v>
      </c>
      <c r="E16" s="5" t="s">
        <v>8</v>
      </c>
      <c r="F16" s="107">
        <v>90</v>
      </c>
      <c r="G16" s="2"/>
      <c r="H16" s="12">
        <f t="shared" si="0"/>
        <v>0</v>
      </c>
      <c r="J16" s="127">
        <v>90</v>
      </c>
      <c r="K16" s="130">
        <f t="shared" si="1"/>
        <v>0</v>
      </c>
      <c r="L16" s="127">
        <v>0</v>
      </c>
      <c r="M16" s="12">
        <f t="shared" si="2"/>
        <v>0</v>
      </c>
      <c r="O16" s="49"/>
    </row>
    <row r="17" spans="2:15" ht="51">
      <c r="B17" s="11">
        <f>MAX(B$12:B16)+1</f>
        <v>6</v>
      </c>
      <c r="C17" s="4" t="s">
        <v>22</v>
      </c>
      <c r="D17" s="131" t="s">
        <v>169</v>
      </c>
      <c r="E17" s="5" t="s">
        <v>119</v>
      </c>
      <c r="F17" s="107">
        <v>75</v>
      </c>
      <c r="G17" s="2"/>
      <c r="H17" s="12">
        <f t="shared" si="0"/>
        <v>0</v>
      </c>
      <c r="J17" s="127">
        <v>75</v>
      </c>
      <c r="K17" s="130">
        <f t="shared" si="1"/>
        <v>0</v>
      </c>
      <c r="L17" s="127">
        <v>0</v>
      </c>
      <c r="M17" s="12">
        <f t="shared" si="2"/>
        <v>0</v>
      </c>
      <c r="O17" s="49"/>
    </row>
    <row r="18" spans="2:15" ht="23.25" customHeight="1">
      <c r="B18" s="15" t="s">
        <v>12</v>
      </c>
      <c r="C18" s="16"/>
      <c r="D18" s="106" t="s">
        <v>23</v>
      </c>
      <c r="E18" s="102"/>
      <c r="F18" s="102"/>
      <c r="G18" s="102"/>
      <c r="H18" s="111"/>
      <c r="J18" s="129"/>
      <c r="K18" s="111"/>
      <c r="L18" s="129"/>
      <c r="M18" s="111"/>
      <c r="O18" s="49"/>
    </row>
    <row r="19" spans="2:17" ht="51">
      <c r="B19" s="112">
        <f>MAX(B$12:B18)+1</f>
        <v>7</v>
      </c>
      <c r="C19" s="114" t="s">
        <v>29</v>
      </c>
      <c r="D19" s="103" t="s">
        <v>120</v>
      </c>
      <c r="E19" s="104" t="s">
        <v>8</v>
      </c>
      <c r="F19" s="105">
        <v>1682</v>
      </c>
      <c r="G19" s="105"/>
      <c r="H19" s="113">
        <f>G19*F19</f>
        <v>0</v>
      </c>
      <c r="J19" s="127">
        <f>J26</f>
        <v>1052</v>
      </c>
      <c r="K19" s="12">
        <f>ROUND(J19*$G19,2)</f>
        <v>0</v>
      </c>
      <c r="L19" s="127">
        <v>630</v>
      </c>
      <c r="M19" s="12">
        <f>ROUND(L19*$G19,2)</f>
        <v>0</v>
      </c>
      <c r="O19" s="49"/>
      <c r="P19" s="49"/>
      <c r="Q19" s="49"/>
    </row>
    <row r="20" spans="2:15" ht="25.5">
      <c r="B20" s="11">
        <f>MAX(B$12:B19)+1</f>
        <v>8</v>
      </c>
      <c r="C20" s="14" t="s">
        <v>29</v>
      </c>
      <c r="D20" s="3" t="s">
        <v>121</v>
      </c>
      <c r="E20" s="5" t="s">
        <v>8</v>
      </c>
      <c r="F20" s="2">
        <v>335</v>
      </c>
      <c r="G20" s="105"/>
      <c r="H20" s="12">
        <f>G20*F20</f>
        <v>0</v>
      </c>
      <c r="J20" s="127">
        <f>398-83</f>
        <v>315</v>
      </c>
      <c r="K20" s="12">
        <f>ROUND(J20*$G20,2)</f>
        <v>0</v>
      </c>
      <c r="L20" s="127">
        <v>20</v>
      </c>
      <c r="M20" s="12">
        <f>ROUND(L20*$G20,2)</f>
        <v>0</v>
      </c>
      <c r="O20" s="49"/>
    </row>
    <row r="21" spans="2:15" ht="25.5">
      <c r="B21" s="11">
        <f>MAX(B$12:B20)+1</f>
        <v>9</v>
      </c>
      <c r="C21" s="14" t="s">
        <v>29</v>
      </c>
      <c r="D21" s="3" t="s">
        <v>122</v>
      </c>
      <c r="E21" s="5" t="s">
        <v>8</v>
      </c>
      <c r="F21" s="2">
        <v>83</v>
      </c>
      <c r="G21" s="105"/>
      <c r="H21" s="12">
        <f>G21*F21</f>
        <v>0</v>
      </c>
      <c r="J21" s="127">
        <v>83</v>
      </c>
      <c r="K21" s="130">
        <f>ROUND(J21*$G21,2)</f>
        <v>0</v>
      </c>
      <c r="L21" s="127">
        <v>0</v>
      </c>
      <c r="M21" s="130">
        <f>ROUND(L21*$G21,2)</f>
        <v>0</v>
      </c>
      <c r="O21" s="49"/>
    </row>
    <row r="22" spans="2:15" ht="25.5">
      <c r="B22" s="11">
        <f>MAX(B$12:B21)+1</f>
        <v>10</v>
      </c>
      <c r="C22" s="14" t="s">
        <v>32</v>
      </c>
      <c r="D22" s="3" t="s">
        <v>37</v>
      </c>
      <c r="E22" s="5" t="s">
        <v>26</v>
      </c>
      <c r="F22" s="128">
        <f>697+166</f>
        <v>863</v>
      </c>
      <c r="G22" s="105"/>
      <c r="H22" s="12">
        <f>G22*F22</f>
        <v>0</v>
      </c>
      <c r="J22" s="127">
        <v>577</v>
      </c>
      <c r="K22" s="12">
        <f>ROUND(J22*$G22,2)</f>
        <v>0</v>
      </c>
      <c r="L22" s="127">
        <v>286</v>
      </c>
      <c r="M22" s="12">
        <f>ROUND(L22*$G22,2)</f>
        <v>0</v>
      </c>
      <c r="O22" s="49"/>
    </row>
    <row r="23" spans="2:15" ht="23.25" customHeight="1">
      <c r="B23" s="15" t="s">
        <v>13</v>
      </c>
      <c r="C23" s="16"/>
      <c r="D23" s="106" t="s">
        <v>27</v>
      </c>
      <c r="E23" s="102"/>
      <c r="F23" s="102"/>
      <c r="G23" s="102"/>
      <c r="H23" s="111"/>
      <c r="J23" s="129"/>
      <c r="K23" s="111"/>
      <c r="L23" s="129"/>
      <c r="M23" s="111"/>
      <c r="O23" s="49"/>
    </row>
    <row r="24" spans="2:15" ht="24.75" customHeight="1">
      <c r="B24" s="11">
        <f>MAX(B$12:B23)+1</f>
        <v>11</v>
      </c>
      <c r="C24" s="97" t="s">
        <v>101</v>
      </c>
      <c r="D24" s="103" t="s">
        <v>100</v>
      </c>
      <c r="E24" s="104" t="s">
        <v>8</v>
      </c>
      <c r="F24" s="105">
        <v>1740</v>
      </c>
      <c r="G24" s="105"/>
      <c r="H24" s="113">
        <f>G24*F24</f>
        <v>0</v>
      </c>
      <c r="J24" s="127">
        <f>J29+J30</f>
        <v>1740</v>
      </c>
      <c r="K24" s="130">
        <f>ROUND(J24*$G24,2)</f>
        <v>0</v>
      </c>
      <c r="L24" s="127">
        <v>0</v>
      </c>
      <c r="M24" s="130">
        <f>ROUND(L24*$G24,2)</f>
        <v>0</v>
      </c>
      <c r="O24" s="49"/>
    </row>
    <row r="25" spans="2:15" ht="38.25">
      <c r="B25" s="11">
        <f>MAX(B$12:B24)+1</f>
        <v>12</v>
      </c>
      <c r="C25" s="4" t="s">
        <v>110</v>
      </c>
      <c r="D25" s="3" t="s">
        <v>135</v>
      </c>
      <c r="E25" s="5" t="s">
        <v>8</v>
      </c>
      <c r="F25" s="2">
        <v>870</v>
      </c>
      <c r="G25" s="2"/>
      <c r="H25" s="12">
        <f>G25*F25</f>
        <v>0</v>
      </c>
      <c r="J25" s="127">
        <v>870</v>
      </c>
      <c r="K25" s="130">
        <f>ROUND(J25*$G25,2)</f>
        <v>0</v>
      </c>
      <c r="L25" s="127">
        <v>0</v>
      </c>
      <c r="M25" s="130">
        <f>ROUND(L25*$G25,2)</f>
        <v>0</v>
      </c>
      <c r="O25" s="49"/>
    </row>
    <row r="26" spans="2:15" ht="76.5">
      <c r="B26" s="11">
        <f>MAX(B$12:B25)+1</f>
        <v>13</v>
      </c>
      <c r="C26" s="4" t="s">
        <v>40</v>
      </c>
      <c r="D26" s="3" t="s">
        <v>136</v>
      </c>
      <c r="E26" s="5" t="s">
        <v>8</v>
      </c>
      <c r="F26" s="2">
        <v>1682</v>
      </c>
      <c r="G26" s="2"/>
      <c r="H26" s="12">
        <f>G26*F26</f>
        <v>0</v>
      </c>
      <c r="J26" s="127">
        <f>870+182</f>
        <v>1052</v>
      </c>
      <c r="K26" s="12">
        <f>ROUND(J26*$G26,2)</f>
        <v>0</v>
      </c>
      <c r="L26" s="127">
        <f>480+150</f>
        <v>630</v>
      </c>
      <c r="M26" s="12">
        <f>ROUND(L26*$G26,2)</f>
        <v>0</v>
      </c>
      <c r="O26" s="49"/>
    </row>
    <row r="27" spans="2:15" ht="76.5">
      <c r="B27" s="11">
        <f>MAX(B$12:B26)+1</f>
        <v>14</v>
      </c>
      <c r="C27" s="4" t="s">
        <v>41</v>
      </c>
      <c r="D27" s="3" t="s">
        <v>134</v>
      </c>
      <c r="E27" s="5" t="s">
        <v>8</v>
      </c>
      <c r="F27" s="2">
        <f>480+485+83</f>
        <v>1048</v>
      </c>
      <c r="G27" s="2"/>
      <c r="H27" s="12">
        <f>G27*F27</f>
        <v>0</v>
      </c>
      <c r="J27" s="127">
        <f>315+83</f>
        <v>398</v>
      </c>
      <c r="K27" s="12">
        <f>ROUND(J27*$G27,2)</f>
        <v>0</v>
      </c>
      <c r="L27" s="127">
        <f>170+480</f>
        <v>650</v>
      </c>
      <c r="M27" s="12">
        <f>ROUND(L27*$G27,2)</f>
        <v>0</v>
      </c>
      <c r="O27" s="49"/>
    </row>
    <row r="28" spans="2:15" ht="23.25" customHeight="1">
      <c r="B28" s="15" t="s">
        <v>17</v>
      </c>
      <c r="C28" s="109"/>
      <c r="D28" s="106" t="s">
        <v>28</v>
      </c>
      <c r="E28" s="101"/>
      <c r="F28" s="101"/>
      <c r="G28" s="101"/>
      <c r="H28" s="110"/>
      <c r="J28" s="129"/>
      <c r="K28" s="110"/>
      <c r="L28" s="129"/>
      <c r="M28" s="110"/>
      <c r="O28" s="49"/>
    </row>
    <row r="29" spans="2:15" ht="38.25">
      <c r="B29" s="11">
        <f>MAX(B$12:B28)+1</f>
        <v>15</v>
      </c>
      <c r="C29" s="4" t="s">
        <v>99</v>
      </c>
      <c r="D29" s="3" t="s">
        <v>132</v>
      </c>
      <c r="E29" s="5" t="s">
        <v>8</v>
      </c>
      <c r="F29" s="2">
        <v>870</v>
      </c>
      <c r="G29" s="2"/>
      <c r="H29" s="12">
        <f>G29*F29</f>
        <v>0</v>
      </c>
      <c r="J29" s="127">
        <v>870</v>
      </c>
      <c r="K29" s="130">
        <f>ROUND(J29*$G29,2)</f>
        <v>0</v>
      </c>
      <c r="L29" s="127">
        <v>0</v>
      </c>
      <c r="M29" s="130">
        <f>ROUND(L29*$G29,2)</f>
        <v>0</v>
      </c>
      <c r="O29" s="49"/>
    </row>
    <row r="30" spans="2:15" ht="38.25">
      <c r="B30" s="11">
        <f>MAX(B$12:B29)+1</f>
        <v>16</v>
      </c>
      <c r="C30" s="4" t="s">
        <v>98</v>
      </c>
      <c r="D30" s="3" t="s">
        <v>133</v>
      </c>
      <c r="E30" s="5" t="s">
        <v>8</v>
      </c>
      <c r="F30" s="2">
        <v>870</v>
      </c>
      <c r="G30" s="2"/>
      <c r="H30" s="12">
        <f>G30*F30</f>
        <v>0</v>
      </c>
      <c r="J30" s="127">
        <v>870</v>
      </c>
      <c r="K30" s="130">
        <f>ROUND(J30*$G30,2)</f>
        <v>0</v>
      </c>
      <c r="L30" s="127">
        <v>0</v>
      </c>
      <c r="M30" s="130">
        <f>ROUND(L30*$G30,2)</f>
        <v>0</v>
      </c>
      <c r="O30" s="49"/>
    </row>
    <row r="31" spans="2:15" ht="51">
      <c r="B31" s="11">
        <f>MAX(B$12:B30)+1</f>
        <v>17</v>
      </c>
      <c r="C31" s="4" t="s">
        <v>24</v>
      </c>
      <c r="D31" s="3" t="s">
        <v>130</v>
      </c>
      <c r="E31" s="5" t="s">
        <v>8</v>
      </c>
      <c r="F31" s="2">
        <v>480</v>
      </c>
      <c r="G31" s="2"/>
      <c r="H31" s="12">
        <f>G31*F31</f>
        <v>0</v>
      </c>
      <c r="J31" s="127">
        <v>0</v>
      </c>
      <c r="K31" s="130">
        <f>ROUND(J31*$G31,2)</f>
        <v>0</v>
      </c>
      <c r="L31" s="127">
        <v>480</v>
      </c>
      <c r="M31" s="130">
        <f>ROUND(L31*$G31,2)</f>
        <v>0</v>
      </c>
      <c r="O31" s="49"/>
    </row>
    <row r="32" spans="2:15" ht="63.75">
      <c r="B32" s="11">
        <f>MAX(B$12:B31)+1</f>
        <v>18</v>
      </c>
      <c r="C32" s="4" t="s">
        <v>24</v>
      </c>
      <c r="D32" s="3" t="s">
        <v>131</v>
      </c>
      <c r="E32" s="5" t="s">
        <v>8</v>
      </c>
      <c r="F32" s="2">
        <v>485</v>
      </c>
      <c r="G32" s="2"/>
      <c r="H32" s="12">
        <f>G32*F32</f>
        <v>0</v>
      </c>
      <c r="I32" s="134"/>
      <c r="J32" s="127">
        <v>315</v>
      </c>
      <c r="K32" s="130">
        <f>ROUND(J32*$G32,2)</f>
        <v>0</v>
      </c>
      <c r="L32" s="127">
        <v>170</v>
      </c>
      <c r="M32" s="130">
        <f>ROUND(L32*$G32,2)</f>
        <v>0</v>
      </c>
      <c r="O32" s="49"/>
    </row>
    <row r="33" spans="2:15" ht="38.25">
      <c r="B33" s="11">
        <f>MAX(B$12:B32)+1</f>
        <v>19</v>
      </c>
      <c r="C33" s="4" t="s">
        <v>97</v>
      </c>
      <c r="D33" s="3" t="s">
        <v>103</v>
      </c>
      <c r="E33" s="5" t="s">
        <v>8</v>
      </c>
      <c r="F33" s="2">
        <v>83</v>
      </c>
      <c r="G33" s="2"/>
      <c r="H33" s="12">
        <f>G33*F33</f>
        <v>0</v>
      </c>
      <c r="J33" s="127">
        <v>83</v>
      </c>
      <c r="K33" s="130">
        <f>ROUND(J33*$G33,2)</f>
        <v>0</v>
      </c>
      <c r="L33" s="127">
        <v>0</v>
      </c>
      <c r="M33" s="130">
        <f>ROUND(L33*$G33,2)</f>
        <v>0</v>
      </c>
      <c r="O33" s="49"/>
    </row>
    <row r="34" spans="2:15" ht="23.25" customHeight="1">
      <c r="B34" s="15" t="s">
        <v>19</v>
      </c>
      <c r="C34" s="109"/>
      <c r="D34" s="106" t="s">
        <v>18</v>
      </c>
      <c r="E34" s="101"/>
      <c r="F34" s="101"/>
      <c r="G34" s="101"/>
      <c r="H34" s="110"/>
      <c r="J34" s="129"/>
      <c r="K34" s="110"/>
      <c r="L34" s="129"/>
      <c r="M34" s="110"/>
      <c r="O34" s="49"/>
    </row>
    <row r="35" spans="2:15" ht="63.75">
      <c r="B35" s="11">
        <f>MAX(B$12:B34)+1</f>
        <v>20</v>
      </c>
      <c r="C35" s="4" t="s">
        <v>104</v>
      </c>
      <c r="D35" s="3" t="s">
        <v>128</v>
      </c>
      <c r="E35" s="5" t="s">
        <v>9</v>
      </c>
      <c r="F35" s="128">
        <f>282-115</f>
        <v>167</v>
      </c>
      <c r="G35" s="2"/>
      <c r="H35" s="12">
        <f>G35*F35</f>
        <v>0</v>
      </c>
      <c r="J35" s="127">
        <v>138</v>
      </c>
      <c r="K35" s="12">
        <f>ROUND(J35*$G35,2)</f>
        <v>0</v>
      </c>
      <c r="L35" s="127">
        <v>29</v>
      </c>
      <c r="M35" s="12">
        <f>ROUND(L35*$G35,2)</f>
        <v>0</v>
      </c>
      <c r="O35" s="49"/>
    </row>
    <row r="36" spans="2:15" ht="51">
      <c r="B36" s="11">
        <f>MAX(B$12:B35)+1</f>
        <v>21</v>
      </c>
      <c r="C36" s="4" t="s">
        <v>104</v>
      </c>
      <c r="D36" s="3" t="s">
        <v>129</v>
      </c>
      <c r="E36" s="5" t="s">
        <v>9</v>
      </c>
      <c r="F36" s="128">
        <f>165+9</f>
        <v>174</v>
      </c>
      <c r="G36" s="2"/>
      <c r="H36" s="12">
        <f>G36*F36</f>
        <v>0</v>
      </c>
      <c r="J36" s="127">
        <v>152</v>
      </c>
      <c r="K36" s="12">
        <f>ROUND(J36*$G36,2)</f>
        <v>0</v>
      </c>
      <c r="L36" s="127">
        <v>22</v>
      </c>
      <c r="M36" s="12">
        <f>ROUND(L36*$G36,2)</f>
        <v>0</v>
      </c>
      <c r="O36" s="49"/>
    </row>
    <row r="37" spans="2:15" ht="51">
      <c r="B37" s="11">
        <f>MAX(B$12:B36)+1</f>
        <v>22</v>
      </c>
      <c r="C37" s="4" t="s">
        <v>104</v>
      </c>
      <c r="D37" s="3" t="s">
        <v>127</v>
      </c>
      <c r="E37" s="5" t="s">
        <v>9</v>
      </c>
      <c r="F37" s="2">
        <v>220</v>
      </c>
      <c r="G37" s="2"/>
      <c r="H37" s="12">
        <f>G37*F37</f>
        <v>0</v>
      </c>
      <c r="J37" s="127">
        <v>10</v>
      </c>
      <c r="K37" s="130">
        <f>ROUND(J37*$G37,2)</f>
        <v>0</v>
      </c>
      <c r="L37" s="127">
        <v>210</v>
      </c>
      <c r="M37" s="130">
        <f>ROUND(L37*$G37,2)</f>
        <v>0</v>
      </c>
      <c r="O37" s="49"/>
    </row>
    <row r="38" spans="2:15" ht="38.25">
      <c r="B38" s="11">
        <f>MAX(B$12:B37)+1</f>
        <v>23</v>
      </c>
      <c r="C38" s="4" t="s">
        <v>105</v>
      </c>
      <c r="D38" s="3" t="s">
        <v>126</v>
      </c>
      <c r="E38" s="5" t="s">
        <v>9</v>
      </c>
      <c r="F38" s="2">
        <v>186</v>
      </c>
      <c r="G38" s="2"/>
      <c r="H38" s="12">
        <f>G38*F38</f>
        <v>0</v>
      </c>
      <c r="J38" s="127">
        <v>159</v>
      </c>
      <c r="K38" s="130">
        <f>ROUND(J38*$G38,2)</f>
        <v>0</v>
      </c>
      <c r="L38" s="127">
        <v>27</v>
      </c>
      <c r="M38" s="130">
        <f>ROUND(L38*$G38,2)</f>
        <v>0</v>
      </c>
      <c r="O38" s="49"/>
    </row>
    <row r="39" spans="2:15" ht="63.75">
      <c r="B39" s="11">
        <f>MAX(B$12:B38)+1</f>
        <v>24</v>
      </c>
      <c r="C39" s="4" t="s">
        <v>108</v>
      </c>
      <c r="D39" s="3" t="s">
        <v>125</v>
      </c>
      <c r="E39" s="5" t="s">
        <v>9</v>
      </c>
      <c r="F39" s="2">
        <v>94</v>
      </c>
      <c r="G39" s="2"/>
      <c r="H39" s="12">
        <f>G39*F39</f>
        <v>0</v>
      </c>
      <c r="J39" s="127">
        <v>0</v>
      </c>
      <c r="K39" s="130">
        <f>ROUND(J39*$G39,2)</f>
        <v>0</v>
      </c>
      <c r="L39" s="127">
        <v>94</v>
      </c>
      <c r="M39" s="130">
        <f>ROUND(L39*$G39,2)</f>
        <v>0</v>
      </c>
      <c r="O39" s="49"/>
    </row>
    <row r="40" spans="2:15" ht="25.5" customHeight="1">
      <c r="B40" s="15" t="s">
        <v>36</v>
      </c>
      <c r="C40" s="16"/>
      <c r="D40" s="106" t="s">
        <v>70</v>
      </c>
      <c r="E40" s="102"/>
      <c r="F40" s="102"/>
      <c r="G40" s="102"/>
      <c r="H40" s="111"/>
      <c r="J40" s="129"/>
      <c r="K40" s="111"/>
      <c r="L40" s="129"/>
      <c r="M40" s="111"/>
      <c r="O40" s="49"/>
    </row>
    <row r="41" spans="2:15" ht="25.5">
      <c r="B41" s="112">
        <f>MAX(B$12:B40)+1</f>
        <v>25</v>
      </c>
      <c r="C41" s="97" t="s">
        <v>42</v>
      </c>
      <c r="D41" s="103" t="s">
        <v>38</v>
      </c>
      <c r="E41" s="104" t="s">
        <v>8</v>
      </c>
      <c r="F41" s="105">
        <v>28</v>
      </c>
      <c r="G41" s="105"/>
      <c r="H41" s="113">
        <f>G41*F41</f>
        <v>0</v>
      </c>
      <c r="J41" s="127">
        <v>28</v>
      </c>
      <c r="K41" s="12">
        <f>ROUND(J41*$G41,2)</f>
        <v>0</v>
      </c>
      <c r="L41" s="127">
        <v>0</v>
      </c>
      <c r="M41" s="12">
        <f>ROUND(L41*$G41,2)</f>
        <v>0</v>
      </c>
      <c r="O41" s="49"/>
    </row>
    <row r="42" spans="2:15" ht="25.5">
      <c r="B42" s="11">
        <f>MAX(B$12:B41)+1</f>
        <v>26</v>
      </c>
      <c r="C42" s="4" t="s">
        <v>30</v>
      </c>
      <c r="D42" s="3" t="s">
        <v>124</v>
      </c>
      <c r="E42" s="5" t="s">
        <v>10</v>
      </c>
      <c r="F42" s="2">
        <v>10</v>
      </c>
      <c r="G42" s="2"/>
      <c r="H42" s="12">
        <f>G42*F42</f>
        <v>0</v>
      </c>
      <c r="J42" s="127">
        <v>6</v>
      </c>
      <c r="K42" s="12">
        <f>ROUND(J42*$G42,2)</f>
        <v>0</v>
      </c>
      <c r="L42" s="127">
        <v>4</v>
      </c>
      <c r="M42" s="12">
        <f>ROUND(L42*$G42,2)</f>
        <v>0</v>
      </c>
      <c r="O42" s="49"/>
    </row>
    <row r="43" spans="2:15" ht="23.25" customHeight="1">
      <c r="B43" s="15" t="s">
        <v>115</v>
      </c>
      <c r="C43" s="16"/>
      <c r="D43" s="106" t="s">
        <v>20</v>
      </c>
      <c r="E43" s="102"/>
      <c r="F43" s="102"/>
      <c r="G43" s="102"/>
      <c r="H43" s="111"/>
      <c r="J43" s="129"/>
      <c r="K43" s="111"/>
      <c r="L43" s="129"/>
      <c r="M43" s="111"/>
      <c r="O43" s="49"/>
    </row>
    <row r="44" spans="2:15" ht="51">
      <c r="B44" s="112">
        <f>MAX(B$12:B43)+1</f>
        <v>27</v>
      </c>
      <c r="C44" s="97" t="s">
        <v>31</v>
      </c>
      <c r="D44" s="103" t="s">
        <v>43</v>
      </c>
      <c r="E44" s="104" t="s">
        <v>8</v>
      </c>
      <c r="F44" s="105">
        <v>60</v>
      </c>
      <c r="G44" s="105"/>
      <c r="H44" s="113">
        <f>G44*F44</f>
        <v>0</v>
      </c>
      <c r="J44" s="127">
        <v>35</v>
      </c>
      <c r="K44" s="12">
        <f>ROUND(J44*$G44,2)</f>
        <v>0</v>
      </c>
      <c r="L44" s="127">
        <v>25</v>
      </c>
      <c r="M44" s="12">
        <f>ROUND(L44*$G44,2)</f>
        <v>0</v>
      </c>
      <c r="O44" s="49"/>
    </row>
    <row r="45" spans="2:15" ht="25.5">
      <c r="B45" s="112">
        <f>MAX(B$12:B44)+1</f>
        <v>28</v>
      </c>
      <c r="C45" s="97" t="s">
        <v>39</v>
      </c>
      <c r="D45" s="103" t="s">
        <v>34</v>
      </c>
      <c r="E45" s="104" t="s">
        <v>25</v>
      </c>
      <c r="F45" s="105">
        <v>8</v>
      </c>
      <c r="G45" s="105"/>
      <c r="H45" s="113">
        <f>G45*F45</f>
        <v>0</v>
      </c>
      <c r="J45" s="127">
        <v>8</v>
      </c>
      <c r="K45" s="130">
        <f>ROUND(J45*$G45,2)</f>
        <v>0</v>
      </c>
      <c r="L45" s="127">
        <v>0</v>
      </c>
      <c r="M45" s="130">
        <f>ROUND(L45*$G45,2)</f>
        <v>0</v>
      </c>
      <c r="O45" s="49"/>
    </row>
    <row r="46" spans="2:15" ht="12.75">
      <c r="B46" s="11">
        <f>MAX(B$12:B45)+1</f>
        <v>29</v>
      </c>
      <c r="C46" s="4" t="s">
        <v>39</v>
      </c>
      <c r="D46" s="3" t="s">
        <v>109</v>
      </c>
      <c r="E46" s="5" t="s">
        <v>10</v>
      </c>
      <c r="F46" s="2">
        <v>12</v>
      </c>
      <c r="G46" s="2"/>
      <c r="H46" s="12">
        <f>G46*F46</f>
        <v>0</v>
      </c>
      <c r="J46" s="127">
        <v>9</v>
      </c>
      <c r="K46" s="130">
        <f>ROUND(J46*$G46,2)</f>
        <v>0</v>
      </c>
      <c r="L46" s="127">
        <v>3</v>
      </c>
      <c r="M46" s="130">
        <f>ROUND(L46*$G46,2)</f>
        <v>0</v>
      </c>
      <c r="O46" s="49"/>
    </row>
    <row r="47" spans="2:13" ht="32.25" customHeight="1" thickBot="1">
      <c r="B47" s="19"/>
      <c r="C47" s="20"/>
      <c r="D47" s="21"/>
      <c r="E47" s="22"/>
      <c r="F47" s="23"/>
      <c r="G47" s="24" t="s">
        <v>11</v>
      </c>
      <c r="H47" s="13">
        <f>SUM(H12:H46)</f>
        <v>0</v>
      </c>
      <c r="J47" s="24"/>
      <c r="K47" s="13">
        <f>SUM(K12:K46)</f>
        <v>0</v>
      </c>
      <c r="L47" s="24"/>
      <c r="M47" s="13">
        <f>SUM(M12:M46)</f>
        <v>0</v>
      </c>
    </row>
    <row r="48" ht="13.5" thickTop="1"/>
  </sheetData>
  <sheetProtection/>
  <mergeCells count="6">
    <mergeCell ref="B5:H5"/>
    <mergeCell ref="B3:H3"/>
    <mergeCell ref="D7:F7"/>
    <mergeCell ref="J7:K7"/>
    <mergeCell ref="L7:M7"/>
    <mergeCell ref="J6:K6"/>
  </mergeCells>
  <printOptions/>
  <pageMargins left="0.93" right="0.35" top="0.35" bottom="0.56" header="0.35" footer="0.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5"/>
  <sheetViews>
    <sheetView zoomScalePageLayoutView="0" workbookViewId="0" topLeftCell="A22">
      <selection activeCell="A1" sqref="A1:Q33"/>
    </sheetView>
  </sheetViews>
  <sheetFormatPr defaultColWidth="9.00390625" defaultRowHeight="12.75"/>
  <cols>
    <col min="2" max="2" width="6.875" style="0" customWidth="1"/>
    <col min="3" max="3" width="10.625" style="0" customWidth="1"/>
    <col min="4" max="4" width="40.625" style="0" customWidth="1"/>
    <col min="5" max="5" width="11.25390625" style="0" customWidth="1"/>
    <col min="7" max="7" width="11.375" style="0" customWidth="1"/>
    <col min="8" max="8" width="13.625" style="0" bestFit="1" customWidth="1"/>
    <col min="10" max="10" width="11.375" style="0" customWidth="1"/>
    <col min="11" max="11" width="13.625" style="0" bestFit="1" customWidth="1"/>
    <col min="12" max="12" width="11.375" style="0" customWidth="1"/>
    <col min="13" max="13" width="13.625" style="0" bestFit="1" customWidth="1"/>
    <col min="14" max="14" width="11.375" style="0" customWidth="1"/>
    <col min="15" max="15" width="13.625" style="0" bestFit="1" customWidth="1"/>
    <col min="16" max="16" width="11.375" style="0" customWidth="1"/>
    <col min="17" max="17" width="13.625" style="0" bestFit="1" customWidth="1"/>
  </cols>
  <sheetData>
    <row r="1" spans="2:8" ht="42" customHeight="1">
      <c r="B1" s="152" t="s">
        <v>92</v>
      </c>
      <c r="C1" s="153"/>
      <c r="D1" s="153"/>
      <c r="E1" s="153"/>
      <c r="F1" s="153"/>
      <c r="G1" s="153"/>
      <c r="H1" s="153"/>
    </row>
    <row r="3" spans="2:8" ht="12.75">
      <c r="B3" s="154" t="s">
        <v>186</v>
      </c>
      <c r="C3" s="154"/>
      <c r="D3" s="154"/>
      <c r="E3" s="154"/>
      <c r="F3" s="154"/>
      <c r="G3" s="154"/>
      <c r="H3" s="154"/>
    </row>
    <row r="4" spans="12:17" ht="12.75">
      <c r="L4" s="156" t="s">
        <v>157</v>
      </c>
      <c r="M4" s="156"/>
      <c r="P4" s="156" t="s">
        <v>160</v>
      </c>
      <c r="Q4" s="156"/>
    </row>
    <row r="5" spans="4:17" ht="12.75">
      <c r="D5" s="154" t="s">
        <v>140</v>
      </c>
      <c r="E5" s="154"/>
      <c r="F5" s="154"/>
      <c r="J5" s="161" t="s">
        <v>156</v>
      </c>
      <c r="K5" s="161"/>
      <c r="L5" s="161" t="s">
        <v>156</v>
      </c>
      <c r="M5" s="161"/>
      <c r="N5" s="161" t="s">
        <v>156</v>
      </c>
      <c r="O5" s="161"/>
      <c r="P5" s="161" t="s">
        <v>159</v>
      </c>
      <c r="Q5" s="161"/>
    </row>
    <row r="6" spans="2:17" ht="16.5" thickBot="1">
      <c r="B6" s="50"/>
      <c r="C6" s="50"/>
      <c r="D6" s="50"/>
      <c r="E6" s="51"/>
      <c r="F6" s="51"/>
      <c r="G6" s="52"/>
      <c r="H6" s="52"/>
      <c r="J6" s="126">
        <v>0</v>
      </c>
      <c r="K6" s="126">
        <v>41.62</v>
      </c>
      <c r="L6" s="126">
        <f>K6</f>
        <v>41.62</v>
      </c>
      <c r="M6" s="126">
        <v>144.12</v>
      </c>
      <c r="N6" s="126">
        <v>144.12</v>
      </c>
      <c r="O6" s="126">
        <v>189.55</v>
      </c>
      <c r="P6" s="126">
        <v>0</v>
      </c>
      <c r="Q6" s="126">
        <v>166.78</v>
      </c>
    </row>
    <row r="7" spans="2:17" ht="21.75" customHeight="1" thickTop="1">
      <c r="B7" s="66" t="s">
        <v>49</v>
      </c>
      <c r="C7" s="67" t="s">
        <v>64</v>
      </c>
      <c r="D7" s="67" t="s">
        <v>65</v>
      </c>
      <c r="E7" s="67" t="s">
        <v>4</v>
      </c>
      <c r="F7" s="67" t="s">
        <v>66</v>
      </c>
      <c r="G7" s="67" t="s">
        <v>5</v>
      </c>
      <c r="H7" s="68" t="s">
        <v>6</v>
      </c>
      <c r="J7" s="67" t="s">
        <v>4</v>
      </c>
      <c r="K7" s="68" t="s">
        <v>6</v>
      </c>
      <c r="L7" s="67" t="s">
        <v>4</v>
      </c>
      <c r="M7" s="68" t="s">
        <v>6</v>
      </c>
      <c r="N7" s="67" t="s">
        <v>4</v>
      </c>
      <c r="O7" s="68" t="s">
        <v>6</v>
      </c>
      <c r="P7" s="67" t="s">
        <v>4</v>
      </c>
      <c r="Q7" s="68" t="s">
        <v>6</v>
      </c>
    </row>
    <row r="8" spans="2:17" ht="15" customHeight="1">
      <c r="B8" s="69">
        <v>1</v>
      </c>
      <c r="C8" s="62">
        <v>2</v>
      </c>
      <c r="D8" s="63">
        <v>3</v>
      </c>
      <c r="E8" s="64">
        <v>4</v>
      </c>
      <c r="F8" s="63">
        <v>5</v>
      </c>
      <c r="G8" s="62">
        <v>6</v>
      </c>
      <c r="H8" s="70">
        <v>7</v>
      </c>
      <c r="J8" s="62">
        <v>6</v>
      </c>
      <c r="K8" s="70">
        <v>7</v>
      </c>
      <c r="L8" s="62">
        <v>6</v>
      </c>
      <c r="M8" s="70">
        <v>7</v>
      </c>
      <c r="N8" s="62">
        <v>6</v>
      </c>
      <c r="O8" s="70">
        <v>7</v>
      </c>
      <c r="P8" s="62">
        <v>6</v>
      </c>
      <c r="Q8" s="70">
        <v>7</v>
      </c>
    </row>
    <row r="9" spans="2:19" ht="12.75">
      <c r="B9" s="74" t="s">
        <v>71</v>
      </c>
      <c r="C9" s="75"/>
      <c r="D9" s="76" t="s">
        <v>15</v>
      </c>
      <c r="E9" s="77"/>
      <c r="F9" s="77"/>
      <c r="G9" s="77"/>
      <c r="H9" s="78"/>
      <c r="J9" s="77"/>
      <c r="K9" s="78"/>
      <c r="L9" s="142"/>
      <c r="M9" s="78"/>
      <c r="N9" s="77"/>
      <c r="O9" s="78"/>
      <c r="P9" s="77"/>
      <c r="Q9" s="78"/>
      <c r="S9" s="49"/>
    </row>
    <row r="10" spans="2:19" ht="12.75">
      <c r="B10" s="71">
        <v>1</v>
      </c>
      <c r="C10" s="65" t="s">
        <v>21</v>
      </c>
      <c r="D10" s="53" t="s">
        <v>44</v>
      </c>
      <c r="E10" s="144">
        <f>0.27-0.02</f>
        <v>0.25</v>
      </c>
      <c r="F10" s="55" t="s">
        <v>7</v>
      </c>
      <c r="G10" s="54"/>
      <c r="H10" s="72">
        <f>ROUND($E10*G10,2)</f>
        <v>0</v>
      </c>
      <c r="J10" s="54">
        <v>0</v>
      </c>
      <c r="K10" s="12">
        <f>ROUND(J10*$G10,2)</f>
        <v>0</v>
      </c>
      <c r="L10" s="54">
        <v>0.09</v>
      </c>
      <c r="M10" s="72">
        <f>ROUND(L10*$G10,2)</f>
        <v>0</v>
      </c>
      <c r="N10" s="54">
        <v>0.05</v>
      </c>
      <c r="O10" s="72">
        <f>ROUND(N10*$G10,2)</f>
        <v>0</v>
      </c>
      <c r="P10" s="54">
        <v>0.11</v>
      </c>
      <c r="Q10" s="72">
        <f>ROUND(P10*$G10,2)</f>
        <v>0</v>
      </c>
      <c r="S10" s="49"/>
    </row>
    <row r="11" spans="2:19" ht="12.75">
      <c r="B11" s="74" t="s">
        <v>72</v>
      </c>
      <c r="C11" s="79"/>
      <c r="D11" s="76" t="s">
        <v>23</v>
      </c>
      <c r="E11" s="116"/>
      <c r="F11" s="116"/>
      <c r="G11" s="117"/>
      <c r="H11" s="118"/>
      <c r="J11" s="117"/>
      <c r="K11" s="118"/>
      <c r="L11" s="143"/>
      <c r="M11" s="118"/>
      <c r="N11" s="143"/>
      <c r="O11" s="118"/>
      <c r="P11" s="143"/>
      <c r="Q11" s="118"/>
      <c r="S11" s="49"/>
    </row>
    <row r="12" spans="2:19" ht="38.25">
      <c r="B12" s="71">
        <v>2</v>
      </c>
      <c r="C12" s="65" t="s">
        <v>39</v>
      </c>
      <c r="D12" s="53" t="s">
        <v>81</v>
      </c>
      <c r="E12" s="141">
        <f>1014-53</f>
        <v>961</v>
      </c>
      <c r="F12" s="55" t="s">
        <v>26</v>
      </c>
      <c r="G12" s="54"/>
      <c r="H12" s="72">
        <f aca="true" t="shared" si="0" ref="H12:H18">ROUND($E12*G12,2)</f>
        <v>0</v>
      </c>
      <c r="J12" s="54">
        <v>0</v>
      </c>
      <c r="K12" s="72">
        <f aca="true" t="shared" si="1" ref="K12:K18">ROUND(J12*$G12,2)</f>
        <v>0</v>
      </c>
      <c r="L12" s="54">
        <v>346</v>
      </c>
      <c r="M12" s="72">
        <f aca="true" t="shared" si="2" ref="M12:M18">ROUND(L12*$G12,2)</f>
        <v>0</v>
      </c>
      <c r="N12" s="54">
        <v>215</v>
      </c>
      <c r="O12" s="72">
        <f aca="true" t="shared" si="3" ref="O12:O18">ROUND(N12*$G12,2)</f>
        <v>0</v>
      </c>
      <c r="P12" s="54">
        <v>400</v>
      </c>
      <c r="Q12" s="72">
        <f aca="true" t="shared" si="4" ref="Q12:Q18">ROUND(P12*$G12,2)</f>
        <v>0</v>
      </c>
      <c r="S12" s="49"/>
    </row>
    <row r="13" spans="2:19" ht="18" customHeight="1">
      <c r="B13" s="11">
        <f>MAX(B$10:B12)+1</f>
        <v>3</v>
      </c>
      <c r="C13" s="65" t="s">
        <v>39</v>
      </c>
      <c r="D13" s="53" t="s">
        <v>82</v>
      </c>
      <c r="E13" s="141">
        <f>1260-56</f>
        <v>1204</v>
      </c>
      <c r="F13" s="55" t="s">
        <v>8</v>
      </c>
      <c r="G13" s="54"/>
      <c r="H13" s="72">
        <f t="shared" si="0"/>
        <v>0</v>
      </c>
      <c r="J13" s="54">
        <v>0</v>
      </c>
      <c r="K13" s="72">
        <f t="shared" si="1"/>
        <v>0</v>
      </c>
      <c r="L13" s="54">
        <v>442</v>
      </c>
      <c r="M13" s="72">
        <f t="shared" si="2"/>
        <v>0</v>
      </c>
      <c r="N13" s="54">
        <v>260</v>
      </c>
      <c r="O13" s="72">
        <f t="shared" si="3"/>
        <v>0</v>
      </c>
      <c r="P13" s="54">
        <v>502</v>
      </c>
      <c r="Q13" s="72">
        <f t="shared" si="4"/>
        <v>0</v>
      </c>
      <c r="S13" s="49"/>
    </row>
    <row r="14" spans="2:19" ht="12.75">
      <c r="B14" s="11">
        <f>MAX(B$10:B13)+1</f>
        <v>4</v>
      </c>
      <c r="C14" s="65" t="s">
        <v>39</v>
      </c>
      <c r="D14" s="53" t="s">
        <v>67</v>
      </c>
      <c r="E14" s="141">
        <f>303-16</f>
        <v>287</v>
      </c>
      <c r="F14" s="55" t="s">
        <v>26</v>
      </c>
      <c r="G14" s="54"/>
      <c r="H14" s="72">
        <f t="shared" si="0"/>
        <v>0</v>
      </c>
      <c r="J14" s="54">
        <v>0</v>
      </c>
      <c r="K14" s="72">
        <f t="shared" si="1"/>
        <v>0</v>
      </c>
      <c r="L14" s="54">
        <v>104</v>
      </c>
      <c r="M14" s="72">
        <f t="shared" si="2"/>
        <v>0</v>
      </c>
      <c r="N14" s="54">
        <v>62</v>
      </c>
      <c r="O14" s="72">
        <f t="shared" si="3"/>
        <v>0</v>
      </c>
      <c r="P14" s="54">
        <v>121</v>
      </c>
      <c r="Q14" s="72">
        <f t="shared" si="4"/>
        <v>0</v>
      </c>
      <c r="S14" s="49"/>
    </row>
    <row r="15" spans="2:19" ht="25.5">
      <c r="B15" s="11">
        <f>MAX(B$10:B14)+1</f>
        <v>5</v>
      </c>
      <c r="C15" s="65" t="s">
        <v>39</v>
      </c>
      <c r="D15" s="53" t="s">
        <v>83</v>
      </c>
      <c r="E15" s="141">
        <f>90.5-8.5</f>
        <v>82</v>
      </c>
      <c r="F15" s="55" t="s">
        <v>26</v>
      </c>
      <c r="G15" s="54"/>
      <c r="H15" s="72">
        <f t="shared" si="0"/>
        <v>0</v>
      </c>
      <c r="J15" s="54">
        <v>0</v>
      </c>
      <c r="K15" s="72">
        <f t="shared" si="1"/>
        <v>0</v>
      </c>
      <c r="L15" s="54">
        <v>30</v>
      </c>
      <c r="M15" s="72">
        <f t="shared" si="2"/>
        <v>0</v>
      </c>
      <c r="N15" s="54">
        <v>18</v>
      </c>
      <c r="O15" s="72">
        <f t="shared" si="3"/>
        <v>0</v>
      </c>
      <c r="P15" s="54">
        <v>34</v>
      </c>
      <c r="Q15" s="72">
        <f t="shared" si="4"/>
        <v>0</v>
      </c>
      <c r="S15" s="49"/>
    </row>
    <row r="16" spans="2:19" ht="25.5">
      <c r="B16" s="11">
        <f>MAX(B$10:B15)+1</f>
        <v>6</v>
      </c>
      <c r="C16" s="65" t="s">
        <v>39</v>
      </c>
      <c r="D16" s="53" t="s">
        <v>84</v>
      </c>
      <c r="E16" s="141">
        <f>212.5-7.5</f>
        <v>205</v>
      </c>
      <c r="F16" s="55" t="s">
        <v>26</v>
      </c>
      <c r="G16" s="54"/>
      <c r="H16" s="72">
        <f t="shared" si="0"/>
        <v>0</v>
      </c>
      <c r="J16" s="54">
        <v>0</v>
      </c>
      <c r="K16" s="72">
        <f t="shared" si="1"/>
        <v>0</v>
      </c>
      <c r="L16" s="54">
        <v>74</v>
      </c>
      <c r="M16" s="72">
        <f t="shared" si="2"/>
        <v>0</v>
      </c>
      <c r="N16" s="54">
        <v>44</v>
      </c>
      <c r="O16" s="72">
        <f t="shared" si="3"/>
        <v>0</v>
      </c>
      <c r="P16" s="54">
        <v>87</v>
      </c>
      <c r="Q16" s="72">
        <f t="shared" si="4"/>
        <v>0</v>
      </c>
      <c r="S16" s="49"/>
    </row>
    <row r="17" spans="2:25" ht="25.5">
      <c r="B17" s="11">
        <f>MAX(B$10:B16)+1</f>
        <v>7</v>
      </c>
      <c r="C17" s="65" t="s">
        <v>39</v>
      </c>
      <c r="D17" s="53" t="s">
        <v>85</v>
      </c>
      <c r="E17" s="141">
        <f>870.5-196.5</f>
        <v>674</v>
      </c>
      <c r="F17" s="55" t="s">
        <v>26</v>
      </c>
      <c r="G17" s="54"/>
      <c r="H17" s="72">
        <f t="shared" si="0"/>
        <v>0</v>
      </c>
      <c r="J17" s="54">
        <v>0</v>
      </c>
      <c r="K17" s="72">
        <f t="shared" si="1"/>
        <v>0</v>
      </c>
      <c r="L17" s="54">
        <v>242</v>
      </c>
      <c r="M17" s="72">
        <f t="shared" si="2"/>
        <v>0</v>
      </c>
      <c r="N17" s="54">
        <v>153</v>
      </c>
      <c r="O17" s="72">
        <f t="shared" si="3"/>
        <v>0</v>
      </c>
      <c r="P17" s="54">
        <v>279</v>
      </c>
      <c r="Q17" s="72">
        <f t="shared" si="4"/>
        <v>0</v>
      </c>
      <c r="S17" s="49"/>
      <c r="U17" s="49"/>
      <c r="V17" s="49"/>
      <c r="W17" s="49"/>
      <c r="X17" s="49"/>
      <c r="Y17" s="49"/>
    </row>
    <row r="18" spans="2:19" ht="12.75">
      <c r="B18" s="11">
        <f>MAX(B$10:B17)+1</f>
        <v>8</v>
      </c>
      <c r="C18" s="65" t="s">
        <v>39</v>
      </c>
      <c r="D18" s="53" t="s">
        <v>86</v>
      </c>
      <c r="E18" s="54">
        <v>30</v>
      </c>
      <c r="F18" s="55" t="s">
        <v>87</v>
      </c>
      <c r="G18" s="54"/>
      <c r="H18" s="72">
        <f t="shared" si="0"/>
        <v>0</v>
      </c>
      <c r="J18" s="54">
        <v>0</v>
      </c>
      <c r="K18" s="72">
        <f t="shared" si="1"/>
        <v>0</v>
      </c>
      <c r="L18" s="54">
        <v>11</v>
      </c>
      <c r="M18" s="72">
        <f t="shared" si="2"/>
        <v>0</v>
      </c>
      <c r="N18" s="54">
        <v>6</v>
      </c>
      <c r="O18" s="72">
        <f t="shared" si="3"/>
        <v>0</v>
      </c>
      <c r="P18" s="54">
        <v>13</v>
      </c>
      <c r="Q18" s="72">
        <f t="shared" si="4"/>
        <v>0</v>
      </c>
      <c r="S18" s="49"/>
    </row>
    <row r="19" spans="2:19" ht="12.75">
      <c r="B19" s="74" t="s">
        <v>73</v>
      </c>
      <c r="C19" s="79"/>
      <c r="D19" s="76" t="s">
        <v>78</v>
      </c>
      <c r="E19" s="80"/>
      <c r="F19" s="82"/>
      <c r="G19" s="80"/>
      <c r="H19" s="81"/>
      <c r="J19" s="80"/>
      <c r="K19" s="81"/>
      <c r="L19" s="143"/>
      <c r="M19" s="81"/>
      <c r="N19" s="143"/>
      <c r="O19" s="81"/>
      <c r="P19" s="143"/>
      <c r="Q19" s="81"/>
      <c r="S19" s="49"/>
    </row>
    <row r="20" spans="2:19" ht="25.5">
      <c r="B20" s="11">
        <f>MAX(B$10:B19)+1</f>
        <v>9</v>
      </c>
      <c r="C20" s="65" t="s">
        <v>39</v>
      </c>
      <c r="D20" s="53" t="s">
        <v>148</v>
      </c>
      <c r="E20" s="120">
        <v>42</v>
      </c>
      <c r="F20" s="55" t="s">
        <v>9</v>
      </c>
      <c r="G20" s="54"/>
      <c r="H20" s="72">
        <f>ROUND($E20*G20,2)</f>
        <v>0</v>
      </c>
      <c r="J20" s="54">
        <v>0</v>
      </c>
      <c r="K20" s="72">
        <f>ROUND(J20*$G20,2)</f>
        <v>0</v>
      </c>
      <c r="L20" s="54">
        <v>13</v>
      </c>
      <c r="M20" s="72">
        <f>ROUND(L20*$G20,2)</f>
        <v>0</v>
      </c>
      <c r="N20" s="54">
        <v>8</v>
      </c>
      <c r="O20" s="72">
        <f>ROUND(N20*$G20,2)</f>
        <v>0</v>
      </c>
      <c r="P20" s="54">
        <v>21</v>
      </c>
      <c r="Q20" s="72">
        <f>ROUND(P20*$G20,2)</f>
        <v>0</v>
      </c>
      <c r="S20" s="49"/>
    </row>
    <row r="21" spans="2:19" ht="25.5">
      <c r="B21" s="11">
        <f>MAX(B$10:B20)+1</f>
        <v>10</v>
      </c>
      <c r="C21" s="65" t="s">
        <v>39</v>
      </c>
      <c r="D21" s="53" t="s">
        <v>149</v>
      </c>
      <c r="E21" s="141">
        <f>265.39-23.23</f>
        <v>242.16</v>
      </c>
      <c r="F21" s="55" t="s">
        <v>9</v>
      </c>
      <c r="G21" s="54"/>
      <c r="H21" s="72">
        <f>ROUND($E21*G21,2)</f>
        <v>0</v>
      </c>
      <c r="I21" s="134"/>
      <c r="J21" s="54">
        <v>0</v>
      </c>
      <c r="K21" s="72">
        <f>ROUND(J21*$G21,2)</f>
        <v>0</v>
      </c>
      <c r="L21" s="54">
        <v>92.16</v>
      </c>
      <c r="M21" s="72">
        <f>ROUND(L21*$G21,2)</f>
        <v>0</v>
      </c>
      <c r="N21" s="54">
        <v>45.42999999999999</v>
      </c>
      <c r="O21" s="72">
        <f>ROUND(N21*$G21,2)</f>
        <v>0</v>
      </c>
      <c r="P21" s="54">
        <v>104.57</v>
      </c>
      <c r="Q21" s="72">
        <f>ROUND(P21*$G21,2)</f>
        <v>0</v>
      </c>
      <c r="S21" s="49"/>
    </row>
    <row r="22" spans="2:19" ht="25.5">
      <c r="B22" s="11">
        <f>MAX(B$10:B21)+1</f>
        <v>11</v>
      </c>
      <c r="C22" s="65" t="s">
        <v>39</v>
      </c>
      <c r="D22" s="53" t="s">
        <v>150</v>
      </c>
      <c r="E22" s="54">
        <v>7.06</v>
      </c>
      <c r="F22" s="55" t="s">
        <v>9</v>
      </c>
      <c r="G22" s="54"/>
      <c r="H22" s="72">
        <f>ROUND($E22*G22,2)</f>
        <v>0</v>
      </c>
      <c r="J22" s="54">
        <v>0</v>
      </c>
      <c r="K22" s="72">
        <f>ROUND(J22*$G22,2)</f>
        <v>0</v>
      </c>
      <c r="L22" s="54">
        <v>0</v>
      </c>
      <c r="M22" s="72">
        <f>ROUND(L22*$G22,2)</f>
        <v>0</v>
      </c>
      <c r="N22" s="54">
        <v>7.06</v>
      </c>
      <c r="O22" s="72">
        <f>ROUND(N22*$G22,2)</f>
        <v>0</v>
      </c>
      <c r="P22" s="54">
        <v>0</v>
      </c>
      <c r="Q22" s="72">
        <f>ROUND(P22*$G22,2)</f>
        <v>0</v>
      </c>
      <c r="S22" s="49"/>
    </row>
    <row r="23" spans="2:19" ht="12.75">
      <c r="B23" s="74" t="s">
        <v>74</v>
      </c>
      <c r="C23" s="79"/>
      <c r="D23" s="76" t="s">
        <v>143</v>
      </c>
      <c r="E23" s="117"/>
      <c r="F23" s="119"/>
      <c r="G23" s="117"/>
      <c r="H23" s="118"/>
      <c r="J23" s="117"/>
      <c r="K23" s="118"/>
      <c r="L23" s="117"/>
      <c r="M23" s="118"/>
      <c r="N23" s="117"/>
      <c r="O23" s="118"/>
      <c r="P23" s="117"/>
      <c r="Q23" s="118"/>
      <c r="S23" s="49"/>
    </row>
    <row r="24" spans="2:20" ht="38.25">
      <c r="B24" s="11">
        <f>MAX(B$10:B23)+1</f>
        <v>12</v>
      </c>
      <c r="C24" s="65" t="s">
        <v>39</v>
      </c>
      <c r="D24" s="53" t="s">
        <v>146</v>
      </c>
      <c r="E24" s="54">
        <v>1</v>
      </c>
      <c r="F24" s="55" t="s">
        <v>10</v>
      </c>
      <c r="G24" s="54"/>
      <c r="H24" s="72">
        <f>ROUND($E24*G24,2)</f>
        <v>0</v>
      </c>
      <c r="J24" s="54">
        <v>0</v>
      </c>
      <c r="K24" s="72">
        <f>ROUND(J24*$G24,2)</f>
        <v>0</v>
      </c>
      <c r="L24" s="54">
        <v>1</v>
      </c>
      <c r="M24" s="72">
        <f>ROUND(L24*$G24,2)</f>
        <v>0</v>
      </c>
      <c r="N24" s="54">
        <v>0</v>
      </c>
      <c r="O24" s="72">
        <f>ROUND(N24*$G24,2)</f>
        <v>0</v>
      </c>
      <c r="P24" s="54">
        <v>0</v>
      </c>
      <c r="Q24" s="72">
        <f>ROUND(P24*$G24,2)</f>
        <v>0</v>
      </c>
      <c r="S24" s="49"/>
      <c r="T24" s="49"/>
    </row>
    <row r="25" spans="2:19" ht="63.75">
      <c r="B25" s="11">
        <f>MAX(B$10:B24)+1</f>
        <v>13</v>
      </c>
      <c r="C25" s="65" t="s">
        <v>39</v>
      </c>
      <c r="D25" s="53" t="s">
        <v>142</v>
      </c>
      <c r="E25" s="54">
        <v>1</v>
      </c>
      <c r="F25" s="55" t="s">
        <v>10</v>
      </c>
      <c r="G25" s="54"/>
      <c r="H25" s="72">
        <f>ROUND($E25*G25,2)</f>
        <v>0</v>
      </c>
      <c r="J25" s="54">
        <v>0</v>
      </c>
      <c r="K25" s="72">
        <f>ROUND(J25*$G25,2)</f>
        <v>0</v>
      </c>
      <c r="L25" s="54">
        <v>1</v>
      </c>
      <c r="M25" s="72">
        <f>ROUND(L25*$G25,2)</f>
        <v>0</v>
      </c>
      <c r="N25" s="54">
        <v>0</v>
      </c>
      <c r="O25" s="72">
        <f>ROUND(N25*$G25,2)</f>
        <v>0</v>
      </c>
      <c r="P25" s="54">
        <v>0</v>
      </c>
      <c r="Q25" s="72">
        <f>ROUND(P25*$G25,2)</f>
        <v>0</v>
      </c>
      <c r="S25" s="49"/>
    </row>
    <row r="26" spans="2:19" ht="63.75">
      <c r="B26" s="11">
        <f>MAX(B$10:B25)+1</f>
        <v>14</v>
      </c>
      <c r="C26" s="65" t="s">
        <v>39</v>
      </c>
      <c r="D26" s="53" t="s">
        <v>141</v>
      </c>
      <c r="E26" s="141">
        <f>11-1</f>
        <v>10</v>
      </c>
      <c r="F26" s="55" t="s">
        <v>10</v>
      </c>
      <c r="G26" s="54"/>
      <c r="H26" s="72">
        <f>ROUND($E26*G26,2)</f>
        <v>0</v>
      </c>
      <c r="J26" s="54">
        <v>0</v>
      </c>
      <c r="K26" s="72">
        <f>ROUND(J26*$G26,2)</f>
        <v>0</v>
      </c>
      <c r="L26" s="54">
        <v>6</v>
      </c>
      <c r="M26" s="72">
        <f>ROUND(L26*$G26,2)</f>
        <v>0</v>
      </c>
      <c r="N26" s="54">
        <v>1</v>
      </c>
      <c r="O26" s="72">
        <f>ROUND(N26*$G26,2)</f>
        <v>0</v>
      </c>
      <c r="P26" s="54">
        <v>3</v>
      </c>
      <c r="Q26" s="72">
        <f>ROUND(P26*$G26,2)</f>
        <v>0</v>
      </c>
      <c r="S26" s="49"/>
    </row>
    <row r="27" spans="2:19" ht="51">
      <c r="B27" s="11">
        <f>MAX(B$10:B26)+1</f>
        <v>15</v>
      </c>
      <c r="C27" s="65" t="s">
        <v>39</v>
      </c>
      <c r="D27" s="53" t="s">
        <v>147</v>
      </c>
      <c r="E27" s="54">
        <v>8</v>
      </c>
      <c r="F27" s="55" t="s">
        <v>10</v>
      </c>
      <c r="G27" s="54"/>
      <c r="H27" s="72">
        <f>ROUND($E27*G27,2)</f>
        <v>0</v>
      </c>
      <c r="J27" s="54">
        <v>0</v>
      </c>
      <c r="K27" s="72">
        <f>ROUND(J27*$G27,2)</f>
        <v>0</v>
      </c>
      <c r="L27" s="54">
        <v>3</v>
      </c>
      <c r="M27" s="72">
        <f>ROUND(L27*$G27,2)</f>
        <v>0</v>
      </c>
      <c r="N27" s="54">
        <v>2</v>
      </c>
      <c r="O27" s="72">
        <f>ROUND(N27*$G27,2)</f>
        <v>0</v>
      </c>
      <c r="P27" s="54">
        <v>3</v>
      </c>
      <c r="Q27" s="72">
        <f>ROUND(P27*$G27,2)</f>
        <v>0</v>
      </c>
      <c r="S27" s="49"/>
    </row>
    <row r="28" spans="2:19" ht="38.25">
      <c r="B28" s="11">
        <f>MAX(B$10:B27)+1</f>
        <v>16</v>
      </c>
      <c r="C28" s="65" t="s">
        <v>144</v>
      </c>
      <c r="D28" s="53" t="s">
        <v>145</v>
      </c>
      <c r="E28" s="54">
        <v>1</v>
      </c>
      <c r="F28" s="55" t="s">
        <v>16</v>
      </c>
      <c r="G28" s="54"/>
      <c r="H28" s="72">
        <f>ROUND($E28*G28,2)</f>
        <v>0</v>
      </c>
      <c r="J28" s="54">
        <v>0</v>
      </c>
      <c r="K28" s="72">
        <f>ROUND(J28*$G28,2)</f>
        <v>0</v>
      </c>
      <c r="L28" s="54">
        <v>0</v>
      </c>
      <c r="M28" s="72">
        <f>ROUND(L28*$G28,2)</f>
        <v>0</v>
      </c>
      <c r="N28" s="54">
        <v>1</v>
      </c>
      <c r="O28" s="72">
        <f>ROUND(N28*$G28,2)</f>
        <v>0</v>
      </c>
      <c r="P28" s="54">
        <v>0</v>
      </c>
      <c r="Q28" s="72">
        <f>ROUND(P28*$G28,2)</f>
        <v>0</v>
      </c>
      <c r="S28" s="49"/>
    </row>
    <row r="29" spans="2:19" ht="12.75">
      <c r="B29" s="74" t="s">
        <v>79</v>
      </c>
      <c r="C29" s="79"/>
      <c r="D29" s="76" t="s">
        <v>151</v>
      </c>
      <c r="E29" s="117"/>
      <c r="F29" s="119"/>
      <c r="G29" s="117"/>
      <c r="H29" s="118"/>
      <c r="J29" s="117"/>
      <c r="K29" s="118"/>
      <c r="L29" s="117"/>
      <c r="M29" s="118"/>
      <c r="N29" s="117"/>
      <c r="O29" s="118"/>
      <c r="P29" s="117"/>
      <c r="Q29" s="118"/>
      <c r="S29" s="49"/>
    </row>
    <row r="30" spans="2:19" ht="38.25">
      <c r="B30" s="11">
        <f>MAX(B$10:B29)+1</f>
        <v>17</v>
      </c>
      <c r="C30" s="65" t="s">
        <v>152</v>
      </c>
      <c r="D30" s="53" t="s">
        <v>153</v>
      </c>
      <c r="E30" s="54">
        <v>453</v>
      </c>
      <c r="F30" s="55" t="s">
        <v>8</v>
      </c>
      <c r="G30" s="54"/>
      <c r="H30" s="72">
        <f>ROUND($E30*G30,2)</f>
        <v>0</v>
      </c>
      <c r="J30" s="54">
        <v>0</v>
      </c>
      <c r="K30" s="72">
        <f>ROUND(J30*$G30,2)</f>
        <v>0</v>
      </c>
      <c r="L30" s="54">
        <v>170</v>
      </c>
      <c r="M30" s="72">
        <f>ROUND(L30*$G30,2)</f>
        <v>0</v>
      </c>
      <c r="N30" s="54">
        <v>88</v>
      </c>
      <c r="O30" s="72">
        <f>ROUND(N30*$G30,2)</f>
        <v>0</v>
      </c>
      <c r="P30" s="54">
        <v>195</v>
      </c>
      <c r="Q30" s="72">
        <f>ROUND(P30*$G30,2)</f>
        <v>0</v>
      </c>
      <c r="S30" s="49"/>
    </row>
    <row r="31" spans="2:19" ht="38.25">
      <c r="B31" s="11">
        <f>MAX(B$10:B30)+1</f>
        <v>18</v>
      </c>
      <c r="C31" s="65" t="s">
        <v>39</v>
      </c>
      <c r="D31" s="53" t="s">
        <v>68</v>
      </c>
      <c r="E31" s="54">
        <v>12</v>
      </c>
      <c r="F31" s="55" t="s">
        <v>16</v>
      </c>
      <c r="G31" s="54"/>
      <c r="H31" s="72">
        <f>ROUND($E31*G31,2)</f>
        <v>0</v>
      </c>
      <c r="J31" s="54">
        <v>0</v>
      </c>
      <c r="K31" s="72">
        <f>ROUND(J31*$G31,2)</f>
        <v>0</v>
      </c>
      <c r="L31" s="54">
        <v>4</v>
      </c>
      <c r="M31" s="72">
        <f>ROUND(L31*$G31,2)</f>
        <v>0</v>
      </c>
      <c r="N31" s="54">
        <v>3</v>
      </c>
      <c r="O31" s="72">
        <f>ROUND(N31*$G31,2)</f>
        <v>0</v>
      </c>
      <c r="P31" s="54">
        <v>5</v>
      </c>
      <c r="Q31" s="72">
        <f>ROUND(P31*$G31,2)</f>
        <v>0</v>
      </c>
      <c r="S31" s="49"/>
    </row>
    <row r="32" spans="2:19" ht="12.75">
      <c r="B32" s="11">
        <f>MAX(B$10:B31)+1</f>
        <v>19</v>
      </c>
      <c r="C32" s="65" t="s">
        <v>39</v>
      </c>
      <c r="D32" s="53" t="s">
        <v>69</v>
      </c>
      <c r="E32" s="54">
        <v>12</v>
      </c>
      <c r="F32" s="55" t="s">
        <v>16</v>
      </c>
      <c r="G32" s="54"/>
      <c r="H32" s="72">
        <f>ROUND($E32*G32,2)</f>
        <v>0</v>
      </c>
      <c r="J32" s="54">
        <v>0</v>
      </c>
      <c r="K32" s="72">
        <f>ROUND(J32*$G32,2)</f>
        <v>0</v>
      </c>
      <c r="L32" s="54">
        <v>4</v>
      </c>
      <c r="M32" s="72">
        <f>ROUND(L32*$G32,2)</f>
        <v>0</v>
      </c>
      <c r="N32" s="54">
        <v>3</v>
      </c>
      <c r="O32" s="72">
        <f>ROUND(N32*$G32,2)</f>
        <v>0</v>
      </c>
      <c r="P32" s="54">
        <v>5</v>
      </c>
      <c r="Q32" s="72">
        <f>ROUND(P32*$G32,2)</f>
        <v>0</v>
      </c>
      <c r="S32" s="49"/>
    </row>
    <row r="33" spans="2:17" ht="30" customHeight="1" thickBot="1">
      <c r="B33" s="83"/>
      <c r="C33" s="84"/>
      <c r="D33" s="85"/>
      <c r="E33" s="86"/>
      <c r="F33" s="164" t="s">
        <v>46</v>
      </c>
      <c r="G33" s="164"/>
      <c r="H33" s="73">
        <f>SUM(H10:H32)</f>
        <v>0</v>
      </c>
      <c r="K33" s="73">
        <f>SUM(K10:K32)</f>
        <v>0</v>
      </c>
      <c r="M33" s="73">
        <f>SUM(M10:M32)</f>
        <v>0</v>
      </c>
      <c r="O33" s="73">
        <f>SUM(O10:O32)</f>
        <v>0</v>
      </c>
      <c r="Q33" s="73">
        <f>SUM(Q10:Q32)</f>
        <v>0</v>
      </c>
    </row>
    <row r="34" spans="2:17" ht="16.5" thickTop="1">
      <c r="B34" s="56"/>
      <c r="C34" s="56"/>
      <c r="D34" s="57"/>
      <c r="E34" s="58"/>
      <c r="F34" s="59"/>
      <c r="G34" s="60"/>
      <c r="H34" s="60"/>
      <c r="J34" s="60"/>
      <c r="K34" s="60"/>
      <c r="L34" s="60"/>
      <c r="M34" s="60"/>
      <c r="N34" s="60"/>
      <c r="O34" s="60"/>
      <c r="P34" s="60"/>
      <c r="Q34" s="60"/>
    </row>
    <row r="35" spans="2:17" ht="15.75">
      <c r="B35" s="56"/>
      <c r="C35" s="56"/>
      <c r="D35" s="57"/>
      <c r="E35" s="58"/>
      <c r="F35" s="59"/>
      <c r="G35" s="60"/>
      <c r="H35" s="60"/>
      <c r="J35" s="60"/>
      <c r="K35" s="60"/>
      <c r="L35" s="60"/>
      <c r="M35" s="60"/>
      <c r="N35" s="60"/>
      <c r="O35" s="60"/>
      <c r="P35" s="60"/>
      <c r="Q35" s="60"/>
    </row>
    <row r="36" spans="2:17" ht="15.75">
      <c r="B36" s="56"/>
      <c r="C36" s="56"/>
      <c r="D36" s="57"/>
      <c r="E36" s="58"/>
      <c r="F36" s="59"/>
      <c r="G36" s="60"/>
      <c r="H36" s="60"/>
      <c r="J36" s="60"/>
      <c r="K36" s="60"/>
      <c r="L36" s="60"/>
      <c r="M36" s="60"/>
      <c r="N36" s="60"/>
      <c r="O36" s="60"/>
      <c r="P36" s="60"/>
      <c r="Q36" s="60"/>
    </row>
    <row r="37" spans="2:17" ht="15.75">
      <c r="B37" s="56"/>
      <c r="C37" s="56"/>
      <c r="D37" s="57"/>
      <c r="E37" s="58"/>
      <c r="F37" s="59"/>
      <c r="G37" s="60"/>
      <c r="H37" s="60"/>
      <c r="J37" s="60"/>
      <c r="K37" s="60"/>
      <c r="L37" s="60"/>
      <c r="M37" s="60"/>
      <c r="N37" s="60"/>
      <c r="O37" s="60"/>
      <c r="P37" s="60"/>
      <c r="Q37" s="60"/>
    </row>
    <row r="38" spans="5:17" ht="15.75">
      <c r="E38" s="58"/>
      <c r="F38" s="59"/>
      <c r="G38" s="60"/>
      <c r="H38" s="60"/>
      <c r="J38" s="60"/>
      <c r="K38" s="60"/>
      <c r="L38" s="60"/>
      <c r="M38" s="60"/>
      <c r="N38" s="60"/>
      <c r="O38" s="60"/>
      <c r="P38" s="60"/>
      <c r="Q38" s="60"/>
    </row>
    <row r="39" spans="5:17" ht="15.75">
      <c r="E39" s="58"/>
      <c r="F39" s="59"/>
      <c r="G39" s="60"/>
      <c r="H39" s="60"/>
      <c r="J39" s="60"/>
      <c r="K39" s="60"/>
      <c r="L39" s="60"/>
      <c r="M39" s="60"/>
      <c r="N39" s="60"/>
      <c r="O39" s="60"/>
      <c r="P39" s="60"/>
      <c r="Q39" s="60"/>
    </row>
    <row r="40" spans="5:17" ht="15.75">
      <c r="E40" s="58"/>
      <c r="F40" s="59"/>
      <c r="G40" s="60"/>
      <c r="H40" s="60"/>
      <c r="J40" s="60"/>
      <c r="K40" s="60"/>
      <c r="L40" s="60"/>
      <c r="M40" s="60"/>
      <c r="N40" s="60"/>
      <c r="O40" s="60"/>
      <c r="P40" s="60"/>
      <c r="Q40" s="60"/>
    </row>
    <row r="41" spans="5:17" ht="15.75">
      <c r="E41" s="58"/>
      <c r="F41" s="59"/>
      <c r="G41" s="60"/>
      <c r="H41" s="60"/>
      <c r="J41" s="60"/>
      <c r="K41" s="60"/>
      <c r="L41" s="60"/>
      <c r="M41" s="60"/>
      <c r="N41" s="60"/>
      <c r="O41" s="60"/>
      <c r="P41" s="60"/>
      <c r="Q41" s="60"/>
    </row>
    <row r="42" spans="5:17" ht="15.75">
      <c r="E42" s="58"/>
      <c r="F42" s="59"/>
      <c r="G42" s="60"/>
      <c r="H42" s="60"/>
      <c r="J42" s="60"/>
      <c r="K42" s="60"/>
      <c r="L42" s="60"/>
      <c r="M42" s="60"/>
      <c r="N42" s="60"/>
      <c r="O42" s="60"/>
      <c r="P42" s="60"/>
      <c r="Q42" s="60"/>
    </row>
    <row r="43" spans="5:17" ht="15.75">
      <c r="E43" s="58"/>
      <c r="F43" s="59"/>
      <c r="G43" s="60"/>
      <c r="H43" s="60"/>
      <c r="J43" s="60"/>
      <c r="K43" s="60"/>
      <c r="L43" s="60"/>
      <c r="M43" s="60"/>
      <c r="N43" s="60"/>
      <c r="O43" s="60"/>
      <c r="P43" s="60"/>
      <c r="Q43" s="60"/>
    </row>
    <row r="44" spans="5:17" ht="15.75">
      <c r="E44" s="58"/>
      <c r="F44" s="59"/>
      <c r="G44" s="61"/>
      <c r="H44" s="61"/>
      <c r="J44" s="61"/>
      <c r="K44" s="61"/>
      <c r="L44" s="61"/>
      <c r="M44" s="61"/>
      <c r="N44" s="61"/>
      <c r="O44" s="61"/>
      <c r="P44" s="61"/>
      <c r="Q44" s="61"/>
    </row>
    <row r="45" spans="5:17" ht="15.75">
      <c r="E45" s="58"/>
      <c r="F45" s="59"/>
      <c r="G45" s="61"/>
      <c r="H45" s="61"/>
      <c r="J45" s="61"/>
      <c r="K45" s="61"/>
      <c r="L45" s="61"/>
      <c r="M45" s="61"/>
      <c r="N45" s="61"/>
      <c r="O45" s="61"/>
      <c r="P45" s="61"/>
      <c r="Q45" s="61"/>
    </row>
  </sheetData>
  <sheetProtection/>
  <mergeCells count="10">
    <mergeCell ref="F33:G33"/>
    <mergeCell ref="B1:H1"/>
    <mergeCell ref="B3:H3"/>
    <mergeCell ref="D5:F5"/>
    <mergeCell ref="L4:M4"/>
    <mergeCell ref="P4:Q4"/>
    <mergeCell ref="J5:K5"/>
    <mergeCell ref="L5:M5"/>
    <mergeCell ref="N5:O5"/>
    <mergeCell ref="P5:Q5"/>
  </mergeCells>
  <printOptions/>
  <pageMargins left="0.89" right="0.13" top="0.47" bottom="0.4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tabSelected="1" zoomScalePageLayoutView="0" workbookViewId="0" topLeftCell="B1">
      <selection activeCell="R3" sqref="R3"/>
    </sheetView>
  </sheetViews>
  <sheetFormatPr defaultColWidth="9.00390625" defaultRowHeight="12.75"/>
  <cols>
    <col min="2" max="2" width="6.875" style="0" customWidth="1"/>
    <col min="3" max="3" width="10.625" style="0" customWidth="1"/>
    <col min="4" max="4" width="40.625" style="0" customWidth="1"/>
    <col min="5" max="5" width="11.25390625" style="0" customWidth="1"/>
    <col min="7" max="7" width="11.375" style="0" customWidth="1"/>
    <col min="8" max="8" width="13.625" style="0" bestFit="1" customWidth="1"/>
    <col min="10" max="10" width="11.375" style="0" customWidth="1"/>
    <col min="11" max="11" width="13.625" style="0" bestFit="1" customWidth="1"/>
    <col min="12" max="12" width="11.375" style="0" customWidth="1"/>
    <col min="13" max="13" width="13.625" style="0" bestFit="1" customWidth="1"/>
  </cols>
  <sheetData>
    <row r="1" spans="2:8" ht="42" customHeight="1">
      <c r="B1" s="152" t="s">
        <v>92</v>
      </c>
      <c r="C1" s="153"/>
      <c r="D1" s="153"/>
      <c r="E1" s="153"/>
      <c r="F1" s="153"/>
      <c r="G1" s="153"/>
      <c r="H1" s="153"/>
    </row>
    <row r="3" spans="2:8" ht="12.75">
      <c r="B3" s="154" t="s">
        <v>185</v>
      </c>
      <c r="C3" s="154"/>
      <c r="D3" s="154"/>
      <c r="E3" s="154"/>
      <c r="F3" s="154"/>
      <c r="G3" s="154"/>
      <c r="H3" s="154"/>
    </row>
    <row r="4" spans="10:11" ht="12.75">
      <c r="J4" s="162" t="s">
        <v>166</v>
      </c>
      <c r="K4" s="163"/>
    </row>
    <row r="5" spans="4:13" ht="12.75">
      <c r="D5" s="154" t="s">
        <v>155</v>
      </c>
      <c r="E5" s="154"/>
      <c r="F5" s="154"/>
      <c r="J5" s="161" t="s">
        <v>159</v>
      </c>
      <c r="K5" s="161"/>
      <c r="L5" s="161" t="s">
        <v>159</v>
      </c>
      <c r="M5" s="161"/>
    </row>
    <row r="6" spans="2:13" ht="16.5" thickBot="1">
      <c r="B6" s="50"/>
      <c r="C6" s="50"/>
      <c r="D6" s="50"/>
      <c r="E6" s="51"/>
      <c r="F6" s="51"/>
      <c r="G6" s="52"/>
      <c r="H6" s="52"/>
      <c r="J6" s="126">
        <f>'1. Drogi  - E1'!Q6</f>
        <v>0</v>
      </c>
      <c r="K6" s="126">
        <f>307.31</f>
        <v>307.31</v>
      </c>
      <c r="L6" s="126">
        <f>K6</f>
        <v>307.31</v>
      </c>
      <c r="M6" s="126">
        <v>427.72</v>
      </c>
    </row>
    <row r="7" spans="2:13" ht="21.75" customHeight="1" thickTop="1">
      <c r="B7" s="66" t="s">
        <v>49</v>
      </c>
      <c r="C7" s="67" t="s">
        <v>64</v>
      </c>
      <c r="D7" s="67" t="s">
        <v>65</v>
      </c>
      <c r="E7" s="67" t="s">
        <v>4</v>
      </c>
      <c r="F7" s="67" t="s">
        <v>66</v>
      </c>
      <c r="G7" s="67" t="s">
        <v>5</v>
      </c>
      <c r="H7" s="68" t="s">
        <v>6</v>
      </c>
      <c r="J7" s="67" t="s">
        <v>4</v>
      </c>
      <c r="K7" s="68" t="s">
        <v>6</v>
      </c>
      <c r="L7" s="67" t="s">
        <v>4</v>
      </c>
      <c r="M7" s="68" t="s">
        <v>6</v>
      </c>
    </row>
    <row r="8" spans="2:13" ht="15" customHeight="1">
      <c r="B8" s="69">
        <v>1</v>
      </c>
      <c r="C8" s="62">
        <v>2</v>
      </c>
      <c r="D8" s="63">
        <v>3</v>
      </c>
      <c r="E8" s="64">
        <v>4</v>
      </c>
      <c r="F8" s="63">
        <v>5</v>
      </c>
      <c r="G8" s="62">
        <v>6</v>
      </c>
      <c r="H8" s="70">
        <v>7</v>
      </c>
      <c r="J8" s="62">
        <v>6</v>
      </c>
      <c r="K8" s="70">
        <v>7</v>
      </c>
      <c r="L8" s="62">
        <v>6</v>
      </c>
      <c r="M8" s="70">
        <v>7</v>
      </c>
    </row>
    <row r="9" spans="2:13" ht="12.75">
      <c r="B9" s="74" t="s">
        <v>71</v>
      </c>
      <c r="C9" s="75"/>
      <c r="D9" s="76" t="s">
        <v>15</v>
      </c>
      <c r="E9" s="77"/>
      <c r="F9" s="77"/>
      <c r="G9" s="77"/>
      <c r="H9" s="78"/>
      <c r="J9" s="142"/>
      <c r="K9" s="78"/>
      <c r="L9" s="142"/>
      <c r="M9" s="78"/>
    </row>
    <row r="10" spans="2:15" ht="12.75">
      <c r="B10" s="71">
        <v>1</v>
      </c>
      <c r="C10" s="65" t="s">
        <v>21</v>
      </c>
      <c r="D10" s="53" t="s">
        <v>44</v>
      </c>
      <c r="E10" s="144">
        <f>0.22+0.02</f>
        <v>0.24</v>
      </c>
      <c r="F10" s="55" t="s">
        <v>7</v>
      </c>
      <c r="G10" s="54"/>
      <c r="H10" s="72">
        <f>ROUND($E10*G10,2)</f>
        <v>0</v>
      </c>
      <c r="J10" s="54">
        <v>0.15</v>
      </c>
      <c r="K10" s="72">
        <f>ROUND(J10*$G10,2)</f>
        <v>0</v>
      </c>
      <c r="L10" s="54">
        <v>0.09</v>
      </c>
      <c r="M10" s="72">
        <f>ROUND(L10*$G10,2)</f>
        <v>0</v>
      </c>
      <c r="O10" s="115"/>
    </row>
    <row r="11" spans="2:15" ht="12.75">
      <c r="B11" s="74" t="s">
        <v>72</v>
      </c>
      <c r="C11" s="79"/>
      <c r="D11" s="76" t="s">
        <v>23</v>
      </c>
      <c r="E11" s="116"/>
      <c r="F11" s="116"/>
      <c r="G11" s="117"/>
      <c r="H11" s="118"/>
      <c r="J11" s="143"/>
      <c r="K11" s="118"/>
      <c r="L11" s="143"/>
      <c r="M11" s="118"/>
      <c r="O11" s="115"/>
    </row>
    <row r="12" spans="2:15" ht="38.25">
      <c r="B12" s="71">
        <v>2</v>
      </c>
      <c r="C12" s="65" t="s">
        <v>39</v>
      </c>
      <c r="D12" s="53" t="s">
        <v>81</v>
      </c>
      <c r="E12" s="141">
        <f>798+91</f>
        <v>889</v>
      </c>
      <c r="F12" s="55" t="s">
        <v>26</v>
      </c>
      <c r="G12" s="54"/>
      <c r="H12" s="72">
        <f aca="true" t="shared" si="0" ref="H12:H18">ROUND($E12*G12,2)</f>
        <v>0</v>
      </c>
      <c r="J12" s="54">
        <v>573</v>
      </c>
      <c r="K12" s="72">
        <f aca="true" t="shared" si="1" ref="K12:K18">ROUND(J12*$G12,2)</f>
        <v>0</v>
      </c>
      <c r="L12" s="54">
        <v>316</v>
      </c>
      <c r="M12" s="72">
        <f aca="true" t="shared" si="2" ref="M12:M18">ROUND(L12*$G12,2)</f>
        <v>0</v>
      </c>
      <c r="O12" s="115"/>
    </row>
    <row r="13" spans="2:15" ht="18" customHeight="1">
      <c r="B13" s="11">
        <f>MAX(B$10:B12)+1</f>
        <v>3</v>
      </c>
      <c r="C13" s="65" t="s">
        <v>39</v>
      </c>
      <c r="D13" s="53" t="s">
        <v>82</v>
      </c>
      <c r="E13" s="141">
        <f>1162+1</f>
        <v>1163</v>
      </c>
      <c r="F13" s="55" t="s">
        <v>8</v>
      </c>
      <c r="G13" s="54"/>
      <c r="H13" s="72">
        <f t="shared" si="0"/>
        <v>0</v>
      </c>
      <c r="J13" s="54">
        <v>723</v>
      </c>
      <c r="K13" s="72">
        <f t="shared" si="1"/>
        <v>0</v>
      </c>
      <c r="L13" s="54">
        <v>440</v>
      </c>
      <c r="M13" s="72">
        <f t="shared" si="2"/>
        <v>0</v>
      </c>
      <c r="O13" s="115"/>
    </row>
    <row r="14" spans="2:15" ht="12.75">
      <c r="B14" s="11">
        <f>MAX(B$10:B13)+1</f>
        <v>4</v>
      </c>
      <c r="C14" s="65" t="s">
        <v>39</v>
      </c>
      <c r="D14" s="53" t="s">
        <v>67</v>
      </c>
      <c r="E14" s="141">
        <f>379-107</f>
        <v>272</v>
      </c>
      <c r="F14" s="55" t="s">
        <v>26</v>
      </c>
      <c r="G14" s="54"/>
      <c r="H14" s="72">
        <f t="shared" si="0"/>
        <v>0</v>
      </c>
      <c r="J14" s="54">
        <v>174</v>
      </c>
      <c r="K14" s="72">
        <f t="shared" si="1"/>
        <v>0</v>
      </c>
      <c r="L14" s="54">
        <v>98</v>
      </c>
      <c r="M14" s="72">
        <f t="shared" si="2"/>
        <v>0</v>
      </c>
      <c r="O14" s="115"/>
    </row>
    <row r="15" spans="2:15" ht="25.5">
      <c r="B15" s="11">
        <f>MAX(B$10:B14)+1</f>
        <v>5</v>
      </c>
      <c r="C15" s="65" t="s">
        <v>39</v>
      </c>
      <c r="D15" s="53" t="s">
        <v>83</v>
      </c>
      <c r="E15" s="141">
        <f>72.5+5.5</f>
        <v>78</v>
      </c>
      <c r="F15" s="55" t="s">
        <v>26</v>
      </c>
      <c r="G15" s="54"/>
      <c r="H15" s="72">
        <f t="shared" si="0"/>
        <v>0</v>
      </c>
      <c r="J15" s="54">
        <v>50</v>
      </c>
      <c r="K15" s="72">
        <f t="shared" si="1"/>
        <v>0</v>
      </c>
      <c r="L15" s="54">
        <v>28</v>
      </c>
      <c r="M15" s="72">
        <f t="shared" si="2"/>
        <v>0</v>
      </c>
      <c r="O15" s="115"/>
    </row>
    <row r="16" spans="2:15" ht="25.5">
      <c r="B16" s="11">
        <f>MAX(B$10:B15)+1</f>
        <v>6</v>
      </c>
      <c r="C16" s="65" t="s">
        <v>39</v>
      </c>
      <c r="D16" s="53" t="s">
        <v>84</v>
      </c>
      <c r="E16" s="141">
        <f>234-40</f>
        <v>194</v>
      </c>
      <c r="F16" s="55" t="s">
        <v>26</v>
      </c>
      <c r="G16" s="54"/>
      <c r="H16" s="72">
        <f t="shared" si="0"/>
        <v>0</v>
      </c>
      <c r="J16" s="54">
        <v>124</v>
      </c>
      <c r="K16" s="72">
        <f t="shared" si="1"/>
        <v>0</v>
      </c>
      <c r="L16" s="54">
        <v>70</v>
      </c>
      <c r="M16" s="72">
        <f t="shared" si="2"/>
        <v>0</v>
      </c>
      <c r="O16" s="115"/>
    </row>
    <row r="17" spans="2:15" ht="25.5">
      <c r="B17" s="11">
        <f>MAX(B$10:B16)+1</f>
        <v>7</v>
      </c>
      <c r="C17" s="65" t="s">
        <v>39</v>
      </c>
      <c r="D17" s="53" t="s">
        <v>85</v>
      </c>
      <c r="E17" s="141">
        <f>419+198</f>
        <v>617</v>
      </c>
      <c r="F17" s="55" t="s">
        <v>26</v>
      </c>
      <c r="G17" s="54"/>
      <c r="H17" s="72">
        <f t="shared" si="0"/>
        <v>0</v>
      </c>
      <c r="J17" s="54">
        <v>399</v>
      </c>
      <c r="K17" s="72">
        <f t="shared" si="1"/>
        <v>0</v>
      </c>
      <c r="L17" s="54">
        <v>218</v>
      </c>
      <c r="M17" s="72">
        <f t="shared" si="2"/>
        <v>0</v>
      </c>
      <c r="O17" s="115"/>
    </row>
    <row r="18" spans="2:15" ht="12.75">
      <c r="B18" s="11">
        <f>MAX(B$10:B17)+1</f>
        <v>8</v>
      </c>
      <c r="C18" s="65" t="s">
        <v>39</v>
      </c>
      <c r="D18" s="53" t="s">
        <v>86</v>
      </c>
      <c r="E18" s="54">
        <v>25</v>
      </c>
      <c r="F18" s="55" t="s">
        <v>87</v>
      </c>
      <c r="G18" s="54"/>
      <c r="H18" s="72">
        <f t="shared" si="0"/>
        <v>0</v>
      </c>
      <c r="J18" s="54">
        <v>16</v>
      </c>
      <c r="K18" s="72">
        <f t="shared" si="1"/>
        <v>0</v>
      </c>
      <c r="L18" s="54">
        <v>9</v>
      </c>
      <c r="M18" s="72">
        <f t="shared" si="2"/>
        <v>0</v>
      </c>
      <c r="O18" s="115"/>
    </row>
    <row r="19" spans="2:15" ht="12.75">
      <c r="B19" s="74" t="s">
        <v>73</v>
      </c>
      <c r="C19" s="79"/>
      <c r="D19" s="76" t="s">
        <v>78</v>
      </c>
      <c r="E19" s="80"/>
      <c r="F19" s="82"/>
      <c r="G19" s="80"/>
      <c r="H19" s="81"/>
      <c r="J19" s="143"/>
      <c r="K19" s="81"/>
      <c r="L19" s="143"/>
      <c r="M19" s="81"/>
      <c r="O19" s="115"/>
    </row>
    <row r="20" spans="2:15" ht="25.5">
      <c r="B20" s="11">
        <f>MAX(B$10:B19)+1</f>
        <v>9</v>
      </c>
      <c r="C20" s="65" t="s">
        <v>39</v>
      </c>
      <c r="D20" s="53" t="s">
        <v>148</v>
      </c>
      <c r="E20" s="122">
        <v>46</v>
      </c>
      <c r="F20" s="55" t="s">
        <v>9</v>
      </c>
      <c r="G20" s="54"/>
      <c r="H20" s="72">
        <f>ROUND($E20*G20,2)</f>
        <v>0</v>
      </c>
      <c r="J20" s="54">
        <v>29</v>
      </c>
      <c r="K20" s="72">
        <f>ROUND(J20*$G20,2)</f>
        <v>0</v>
      </c>
      <c r="L20" s="54">
        <v>17</v>
      </c>
      <c r="M20" s="72">
        <f>ROUND(L20*$G20,2)</f>
        <v>0</v>
      </c>
      <c r="O20" s="115"/>
    </row>
    <row r="21" spans="2:15" ht="25.5">
      <c r="B21" s="11">
        <f>MAX(B$10:B20)+1</f>
        <v>10</v>
      </c>
      <c r="C21" s="65" t="s">
        <v>39</v>
      </c>
      <c r="D21" s="53" t="s">
        <v>154</v>
      </c>
      <c r="E21" s="54">
        <v>84.9</v>
      </c>
      <c r="F21" s="55" t="s">
        <v>9</v>
      </c>
      <c r="G21" s="54"/>
      <c r="H21" s="72">
        <f>ROUND($E21*G21,2)</f>
        <v>0</v>
      </c>
      <c r="I21" s="134"/>
      <c r="J21" s="54">
        <v>8.88</v>
      </c>
      <c r="K21" s="72">
        <f>ROUND(J21*$G21,2)</f>
        <v>0</v>
      </c>
      <c r="L21" s="54">
        <f>41.02+35</f>
        <v>76.02000000000001</v>
      </c>
      <c r="M21" s="72">
        <f>ROUND(L21*$G21,2)</f>
        <v>0</v>
      </c>
      <c r="O21" s="115"/>
    </row>
    <row r="22" spans="2:15" ht="25.5">
      <c r="B22" s="11">
        <f>MAX(B$10:B21)+1</f>
        <v>11</v>
      </c>
      <c r="C22" s="65" t="s">
        <v>39</v>
      </c>
      <c r="D22" s="53" t="s">
        <v>149</v>
      </c>
      <c r="E22" s="141">
        <f>137.76+23.23</f>
        <v>160.98999999999998</v>
      </c>
      <c r="F22" s="55" t="s">
        <v>9</v>
      </c>
      <c r="G22" s="54"/>
      <c r="H22" s="72">
        <f>ROUND($E22*G22,2)</f>
        <v>0</v>
      </c>
      <c r="J22" s="54">
        <f>37.77-18.96+35+35+29.99+23.23</f>
        <v>142.03</v>
      </c>
      <c r="K22" s="72">
        <f>ROUND(J22*$G22,2)</f>
        <v>0</v>
      </c>
      <c r="L22" s="54">
        <v>18.96</v>
      </c>
      <c r="M22" s="72">
        <f>ROUND(L22*$G22,2)</f>
        <v>0</v>
      </c>
      <c r="O22" s="115"/>
    </row>
    <row r="23" spans="2:17" ht="12.75">
      <c r="B23" s="74" t="s">
        <v>74</v>
      </c>
      <c r="C23" s="79"/>
      <c r="D23" s="76" t="s">
        <v>143</v>
      </c>
      <c r="E23" s="117"/>
      <c r="F23" s="119"/>
      <c r="G23" s="117"/>
      <c r="H23" s="118"/>
      <c r="J23" s="143"/>
      <c r="K23" s="118"/>
      <c r="L23" s="143"/>
      <c r="M23" s="118"/>
      <c r="O23" s="115"/>
      <c r="P23" s="121"/>
      <c r="Q23" s="121"/>
    </row>
    <row r="24" spans="2:15" ht="63.75">
      <c r="B24" s="11">
        <f>MAX(B$10:B23)+1</f>
        <v>12</v>
      </c>
      <c r="C24" s="65" t="s">
        <v>39</v>
      </c>
      <c r="D24" s="53" t="s">
        <v>174</v>
      </c>
      <c r="E24" s="141">
        <f>7+1</f>
        <v>8</v>
      </c>
      <c r="F24" s="55" t="s">
        <v>10</v>
      </c>
      <c r="G24" s="54"/>
      <c r="H24" s="72">
        <f>ROUND($E24*G24,2)</f>
        <v>0</v>
      </c>
      <c r="J24" s="54">
        <v>5</v>
      </c>
      <c r="K24" s="72">
        <f>ROUND(J24*$G24,2)</f>
        <v>0</v>
      </c>
      <c r="L24" s="54">
        <v>3</v>
      </c>
      <c r="M24" s="72">
        <f>ROUND(L24*$G24,2)</f>
        <v>0</v>
      </c>
      <c r="O24" s="115"/>
    </row>
    <row r="25" spans="2:15" ht="51">
      <c r="B25" s="11">
        <f>MAX(B$10:B24)+1</f>
        <v>13</v>
      </c>
      <c r="C25" s="65" t="s">
        <v>39</v>
      </c>
      <c r="D25" s="53" t="s">
        <v>147</v>
      </c>
      <c r="E25" s="54">
        <v>8</v>
      </c>
      <c r="F25" s="55" t="s">
        <v>10</v>
      </c>
      <c r="G25" s="54"/>
      <c r="H25" s="72">
        <f>ROUND($E25*G25,2)</f>
        <v>0</v>
      </c>
      <c r="J25" s="54">
        <v>5</v>
      </c>
      <c r="K25" s="72">
        <f>ROUND(J25*$G25,2)</f>
        <v>0</v>
      </c>
      <c r="L25" s="54">
        <v>3</v>
      </c>
      <c r="M25" s="72">
        <f>ROUND(L25*$G25,2)</f>
        <v>0</v>
      </c>
      <c r="O25" s="115"/>
    </row>
    <row r="26" spans="2:15" ht="12.75">
      <c r="B26" s="74" t="s">
        <v>79</v>
      </c>
      <c r="C26" s="79"/>
      <c r="D26" s="76" t="s">
        <v>151</v>
      </c>
      <c r="E26" s="117"/>
      <c r="F26" s="119"/>
      <c r="G26" s="117"/>
      <c r="H26" s="118"/>
      <c r="J26" s="143"/>
      <c r="K26" s="118"/>
      <c r="L26" s="143"/>
      <c r="M26" s="118"/>
      <c r="O26" s="115"/>
    </row>
    <row r="27" spans="2:15" ht="38.25">
      <c r="B27" s="11">
        <f>MAX(B$10:B26)+1</f>
        <v>14</v>
      </c>
      <c r="C27" s="65" t="s">
        <v>152</v>
      </c>
      <c r="D27" s="53" t="s">
        <v>153</v>
      </c>
      <c r="E27" s="54">
        <v>363</v>
      </c>
      <c r="F27" s="55" t="s">
        <v>8</v>
      </c>
      <c r="G27" s="54"/>
      <c r="H27" s="72">
        <f>ROUND($E27*G27,2)</f>
        <v>0</v>
      </c>
      <c r="J27" s="54">
        <v>303</v>
      </c>
      <c r="K27" s="72">
        <f>ROUND(J27*$G27,2)</f>
        <v>0</v>
      </c>
      <c r="L27" s="54">
        <v>60</v>
      </c>
      <c r="M27" s="72">
        <f>ROUND(L27*$G27,2)</f>
        <v>0</v>
      </c>
      <c r="O27" s="115"/>
    </row>
    <row r="28" spans="2:15" ht="38.25">
      <c r="B28" s="11">
        <f>MAX(B$10:B27)+1</f>
        <v>15</v>
      </c>
      <c r="C28" s="65" t="s">
        <v>39</v>
      </c>
      <c r="D28" s="53" t="s">
        <v>68</v>
      </c>
      <c r="E28" s="54">
        <v>9</v>
      </c>
      <c r="F28" s="55" t="s">
        <v>16</v>
      </c>
      <c r="G28" s="54"/>
      <c r="H28" s="72">
        <f>ROUND($E28*G28,2)</f>
        <v>0</v>
      </c>
      <c r="J28" s="54">
        <v>6</v>
      </c>
      <c r="K28" s="72">
        <f>ROUND(J28*$G28,2)</f>
        <v>0</v>
      </c>
      <c r="L28" s="54">
        <v>3</v>
      </c>
      <c r="M28" s="72">
        <f>ROUND(L28*$G28,2)</f>
        <v>0</v>
      </c>
      <c r="O28" s="115"/>
    </row>
    <row r="29" spans="2:15" ht="12.75">
      <c r="B29" s="11">
        <f>MAX(B$10:B28)+1</f>
        <v>16</v>
      </c>
      <c r="C29" s="65" t="s">
        <v>39</v>
      </c>
      <c r="D29" s="53" t="s">
        <v>69</v>
      </c>
      <c r="E29" s="54">
        <v>9</v>
      </c>
      <c r="F29" s="55" t="s">
        <v>16</v>
      </c>
      <c r="G29" s="54"/>
      <c r="H29" s="72">
        <f>ROUND($E29*G29,2)</f>
        <v>0</v>
      </c>
      <c r="J29" s="54">
        <v>6</v>
      </c>
      <c r="K29" s="72">
        <f>ROUND(J29*$G29,2)</f>
        <v>0</v>
      </c>
      <c r="L29" s="54">
        <v>3</v>
      </c>
      <c r="M29" s="72">
        <f>ROUND(L29*$G29,2)</f>
        <v>0</v>
      </c>
      <c r="O29" s="115"/>
    </row>
    <row r="30" spans="2:13" ht="30" customHeight="1" thickBot="1">
      <c r="B30" s="83"/>
      <c r="C30" s="84"/>
      <c r="D30" s="85"/>
      <c r="E30" s="86"/>
      <c r="F30" s="164" t="s">
        <v>46</v>
      </c>
      <c r="G30" s="164"/>
      <c r="H30" s="73">
        <f>SUM(H10:H29)</f>
        <v>0</v>
      </c>
      <c r="K30" s="73">
        <f>SUM(K10:K29)</f>
        <v>0</v>
      </c>
      <c r="M30" s="73">
        <f>SUM(M10:M29)</f>
        <v>0</v>
      </c>
    </row>
    <row r="31" spans="2:13" ht="16.5" thickTop="1">
      <c r="B31" s="56"/>
      <c r="C31" s="56"/>
      <c r="D31" s="57"/>
      <c r="E31" s="58"/>
      <c r="F31" s="59"/>
      <c r="G31" s="60"/>
      <c r="H31" s="60"/>
      <c r="J31" s="60"/>
      <c r="K31" s="60"/>
      <c r="L31" s="60"/>
      <c r="M31" s="60"/>
    </row>
    <row r="32" spans="2:13" ht="15.75">
      <c r="B32" s="56"/>
      <c r="C32" s="56"/>
      <c r="D32" s="57"/>
      <c r="E32" s="58"/>
      <c r="F32" s="59"/>
      <c r="G32" s="60"/>
      <c r="H32" s="60"/>
      <c r="J32" s="60"/>
      <c r="K32" s="60"/>
      <c r="L32" s="60"/>
      <c r="M32" s="60"/>
    </row>
    <row r="33" spans="2:13" ht="15.75">
      <c r="B33" s="56"/>
      <c r="C33" s="56"/>
      <c r="D33" s="57"/>
      <c r="E33" s="58"/>
      <c r="F33" s="59"/>
      <c r="G33" s="60"/>
      <c r="H33" s="60"/>
      <c r="J33" s="60"/>
      <c r="K33" s="60"/>
      <c r="L33" s="60"/>
      <c r="M33" s="60"/>
    </row>
    <row r="34" spans="2:13" ht="15.75">
      <c r="B34" s="56"/>
      <c r="C34" s="56"/>
      <c r="D34" s="57"/>
      <c r="E34" s="58"/>
      <c r="F34" s="59"/>
      <c r="G34" s="60"/>
      <c r="H34" s="60"/>
      <c r="J34" s="60"/>
      <c r="K34" s="60"/>
      <c r="L34" s="60"/>
      <c r="M34" s="60"/>
    </row>
    <row r="35" spans="5:13" ht="15.75">
      <c r="E35" s="58"/>
      <c r="F35" s="59"/>
      <c r="G35" s="60"/>
      <c r="H35" s="60"/>
      <c r="J35" s="60"/>
      <c r="K35" s="60"/>
      <c r="L35" s="60"/>
      <c r="M35" s="60"/>
    </row>
    <row r="36" spans="5:13" ht="15.75">
      <c r="E36" s="58"/>
      <c r="F36" s="59"/>
      <c r="G36" s="60"/>
      <c r="H36" s="60"/>
      <c r="J36" s="60"/>
      <c r="K36" s="60"/>
      <c r="L36" s="60"/>
      <c r="M36" s="60"/>
    </row>
    <row r="37" spans="5:13" ht="15.75">
      <c r="E37" s="58"/>
      <c r="F37" s="59"/>
      <c r="G37" s="60"/>
      <c r="H37" s="60"/>
      <c r="J37" s="60"/>
      <c r="K37" s="60"/>
      <c r="L37" s="60"/>
      <c r="M37" s="60"/>
    </row>
    <row r="38" spans="5:13" ht="15.75">
      <c r="E38" s="58"/>
      <c r="F38" s="59"/>
      <c r="G38" s="60"/>
      <c r="H38" s="60"/>
      <c r="J38" s="60"/>
      <c r="K38" s="60"/>
      <c r="L38" s="60"/>
      <c r="M38" s="60"/>
    </row>
    <row r="39" spans="5:13" ht="15.75">
      <c r="E39" s="58"/>
      <c r="F39" s="59"/>
      <c r="G39" s="60"/>
      <c r="H39" s="60"/>
      <c r="J39" s="60"/>
      <c r="K39" s="60"/>
      <c r="L39" s="60"/>
      <c r="M39" s="60"/>
    </row>
    <row r="40" spans="5:13" ht="15.75">
      <c r="E40" s="58"/>
      <c r="F40" s="59"/>
      <c r="G40" s="60"/>
      <c r="H40" s="60"/>
      <c r="J40" s="60"/>
      <c r="K40" s="60"/>
      <c r="L40" s="60"/>
      <c r="M40" s="60"/>
    </row>
    <row r="41" spans="5:13" ht="15.75">
      <c r="E41" s="58"/>
      <c r="F41" s="59"/>
      <c r="G41" s="61"/>
      <c r="H41" s="61"/>
      <c r="J41" s="61"/>
      <c r="K41" s="61"/>
      <c r="L41" s="61"/>
      <c r="M41" s="61"/>
    </row>
    <row r="42" spans="5:13" ht="15.75">
      <c r="E42" s="58"/>
      <c r="F42" s="59"/>
      <c r="G42" s="61"/>
      <c r="H42" s="61"/>
      <c r="J42" s="61"/>
      <c r="K42" s="61"/>
      <c r="L42" s="61"/>
      <c r="M42" s="61"/>
    </row>
  </sheetData>
  <sheetProtection/>
  <mergeCells count="7">
    <mergeCell ref="L5:M5"/>
    <mergeCell ref="J4:K4"/>
    <mergeCell ref="F30:G30"/>
    <mergeCell ref="B1:H1"/>
    <mergeCell ref="B3:H3"/>
    <mergeCell ref="D5:F5"/>
    <mergeCell ref="J5:K5"/>
  </mergeCells>
  <printOptions/>
  <pageMargins left="0.89" right="0.13" top="0.47" bottom="0.4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Kuligowska</cp:lastModifiedBy>
  <cp:lastPrinted>2023-05-16T09:21:40Z</cp:lastPrinted>
  <dcterms:created xsi:type="dcterms:W3CDTF">1997-02-26T13:46:56Z</dcterms:created>
  <dcterms:modified xsi:type="dcterms:W3CDTF">2023-05-16T09:39:23Z</dcterms:modified>
  <cp:category/>
  <cp:version/>
  <cp:contentType/>
  <cp:contentStatus/>
</cp:coreProperties>
</file>