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zamowienia publiczne\- Przetargi 2023\Drogi PGR Nawsie - ogl_5\Negoc_II etap_zap_of_dod\"/>
    </mc:Choice>
  </mc:AlternateContent>
  <bookViews>
    <workbookView xWindow="0" yWindow="0" windowWidth="28800" windowHeight="12435" tabRatio="896" firstSheet="5" activeTab="5"/>
  </bookViews>
  <sheets>
    <sheet name="KO2" sheetId="38" state="hidden" r:id="rId1"/>
    <sheet name="KO_1" sheetId="45" state="hidden" r:id="rId2"/>
    <sheet name="KO_4" sheetId="44" state="hidden" r:id="rId3"/>
    <sheet name="PRZEKŁADKA KWALIFIKOWANE" sheetId="27" state="hidden" r:id="rId4"/>
    <sheet name="PRZEKŁADKA NIEKWALIFIKOWANE" sheetId="76" state="hidden" r:id="rId5"/>
    <sheet name="KI3" sheetId="14" r:id="rId6"/>
    <sheet name="3" sheetId="104" r:id="rId7"/>
    <sheet name="4" sheetId="105" r:id="rId8"/>
    <sheet name="5" sheetId="106" r:id="rId9"/>
    <sheet name="6" sheetId="107" r:id="rId10"/>
    <sheet name="7" sheetId="108" r:id="rId11"/>
    <sheet name="8" sheetId="109" r:id="rId12"/>
    <sheet name="9" sheetId="110" r:id="rId13"/>
    <sheet name="10" sheetId="118" r:id="rId14"/>
    <sheet name="11" sheetId="119" r:id="rId15"/>
    <sheet name="12" sheetId="117" r:id="rId16"/>
    <sheet name="13" sheetId="111" r:id="rId17"/>
    <sheet name="14" sheetId="116" r:id="rId18"/>
    <sheet name="16" sheetId="100" r:id="rId19"/>
    <sheet name="17" sheetId="115" r:id="rId20"/>
    <sheet name="18" sheetId="114" r:id="rId21"/>
    <sheet name="19" sheetId="113" r:id="rId22"/>
    <sheet name="20" sheetId="120" r:id="rId23"/>
    <sheet name="KI4-STARE" sheetId="93" state="hidden" r:id="rId24"/>
    <sheet name="KO4-STARE" sheetId="92" state="hidden" r:id="rId25"/>
    <sheet name="KI_4" sheetId="43" state="hidden" r:id="rId26"/>
    <sheet name="PR2_ZRID" sheetId="41" state="hidden" r:id="rId27"/>
    <sheet name="PRZEKŁADKA KWALIFIKOWANE (2)" sheetId="78" state="hidden" r:id="rId28"/>
    <sheet name="1.2.3. Zjazdy indywidualne" sheetId="35" state="hidden" r:id="rId29"/>
    <sheet name="1.2.3. Zjazdy indywidualne (2)" sheetId="42" state="hidden" r:id="rId30"/>
    <sheet name="4.Zdjęcie humusu" sheetId="28" state="hidden" r:id="rId31"/>
    <sheet name="5. Humusowanie" sheetId="29" state="hidden" r:id="rId32"/>
    <sheet name="6.Wykopy-Nasypy" sheetId="30" state="hidden" r:id="rId33"/>
    <sheet name="7.Koryto" sheetId="31" state="hidden" r:id="rId34"/>
    <sheet name="8.odcinająca" sheetId="32" state="hidden" r:id="rId35"/>
    <sheet name="9.wiążąca" sheetId="33" state="hidden" r:id="rId36"/>
    <sheet name="10.ścieralna" sheetId="34" state="hidden" r:id="rId37"/>
    <sheet name="Arkusz1" sheetId="53" state="hidden" r:id="rId38"/>
  </sheets>
  <externalReferences>
    <externalReference r:id="rId39"/>
  </externalReferences>
  <definedNames>
    <definedName name="_xlnm._FilterDatabase" localSheetId="13" hidden="1">'10'!$A$3:$H$59</definedName>
    <definedName name="_xlnm._FilterDatabase" localSheetId="14" hidden="1">'11'!$A$3:$H$58</definedName>
    <definedName name="_xlnm._FilterDatabase" localSheetId="15" hidden="1">'12'!$A$3:$H$61</definedName>
    <definedName name="_xlnm._FilterDatabase" localSheetId="16" hidden="1">'13'!$A$3:$H$58</definedName>
    <definedName name="_xlnm._FilterDatabase" localSheetId="17" hidden="1">'14'!$A$3:$H$59</definedName>
    <definedName name="_xlnm._FilterDatabase" localSheetId="18" hidden="1">'16'!$A$3:$H$99</definedName>
    <definedName name="_xlnm._FilterDatabase" localSheetId="19" hidden="1">'17'!$A$3:$H$58</definedName>
    <definedName name="_xlnm._FilterDatabase" localSheetId="20" hidden="1">'18'!$A$3:$H$58</definedName>
    <definedName name="_xlnm._FilterDatabase" localSheetId="21" hidden="1">'19'!$A$3:$H$59</definedName>
    <definedName name="_xlnm._FilterDatabase" localSheetId="22" hidden="1">'20'!$A$3:$H$58</definedName>
    <definedName name="_xlnm._FilterDatabase" localSheetId="6" hidden="1">'3'!$A$3:$H$49</definedName>
    <definedName name="_xlnm._FilterDatabase" localSheetId="7" hidden="1">'4'!$A$3:$H$58</definedName>
    <definedName name="_xlnm._FilterDatabase" localSheetId="8" hidden="1">'5'!$A$3:$H$58</definedName>
    <definedName name="_xlnm._FilterDatabase" localSheetId="9" hidden="1">'6'!$A$3:$H$58</definedName>
    <definedName name="_xlnm._FilterDatabase" localSheetId="10" hidden="1">'7'!$A$3:$H$59</definedName>
    <definedName name="_xlnm._FilterDatabase" localSheetId="11" hidden="1">'8'!$A$3:$H$55</definedName>
    <definedName name="_xlnm._FilterDatabase" localSheetId="12" hidden="1">'9'!$A$3:$H$58</definedName>
    <definedName name="_xlnm._FilterDatabase" localSheetId="25" hidden="1">KI_4!$A$3:$I$175</definedName>
    <definedName name="_xlnm._FilterDatabase" localSheetId="23" hidden="1">'KI4-STARE'!$A$3:$I$180</definedName>
    <definedName name="_xlnm._FilterDatabase" localSheetId="2" hidden="1">KO_4!$A$3:$I$175</definedName>
    <definedName name="_xlnm._FilterDatabase" localSheetId="24" hidden="1">'KO4-STARE'!$A$3:$I$173</definedName>
    <definedName name="_xlnm._FilterDatabase" localSheetId="26" hidden="1">PR2_ZRID!$A$3:$F$180</definedName>
    <definedName name="_xlnm.Print_Area" localSheetId="28">'1.2.3. Zjazdy indywidualne'!$A$2:$AF$34</definedName>
    <definedName name="_xlnm.Print_Area" localSheetId="29">'1.2.3. Zjazdy indywidualne (2)'!$B$41:$F$46</definedName>
    <definedName name="_xlnm.Print_Area" localSheetId="13">'10'!$A$1:$J$62</definedName>
    <definedName name="_xlnm.Print_Area" localSheetId="36">'10.ścieralna'!$A$1:$G$46</definedName>
    <definedName name="_xlnm.Print_Area" localSheetId="14">'11'!$A$1:$J$61</definedName>
    <definedName name="_xlnm.Print_Area" localSheetId="15">'12'!$A$1:$J$67</definedName>
    <definedName name="_xlnm.Print_Area" localSheetId="16">'13'!$A$1:$J$61</definedName>
    <definedName name="_xlnm.Print_Area" localSheetId="17">'14'!$A$1:$J$62</definedName>
    <definedName name="_xlnm.Print_Area" localSheetId="18">'16'!$A$1:$J$102</definedName>
    <definedName name="_xlnm.Print_Area" localSheetId="19">'17'!$A$1:$J$61</definedName>
    <definedName name="_xlnm.Print_Area" localSheetId="20">'18'!$A$1:$J$61</definedName>
    <definedName name="_xlnm.Print_Area" localSheetId="21">'19'!$A$1:$J$62</definedName>
    <definedName name="_xlnm.Print_Area" localSheetId="22">'20'!$A$1:$J$61</definedName>
    <definedName name="_xlnm.Print_Area" localSheetId="6">'3'!$A$1:$J$52</definedName>
    <definedName name="_xlnm.Print_Area" localSheetId="7">'4'!$A$1:$J$61</definedName>
    <definedName name="_xlnm.Print_Area" localSheetId="30">'4.Zdjęcie humusu'!$A$1:$F$58</definedName>
    <definedName name="_xlnm.Print_Area" localSheetId="8">'5'!$A$1:$J$61</definedName>
    <definedName name="_xlnm.Print_Area" localSheetId="31">'5. Humusowanie'!$A$1:$F$61</definedName>
    <definedName name="_xlnm.Print_Area" localSheetId="9">'6'!$A$1:$J$61</definedName>
    <definedName name="_xlnm.Print_Area" localSheetId="32">'6.Wykopy-Nasypy'!$A$1:$N$77</definedName>
    <definedName name="_xlnm.Print_Area" localSheetId="10">'7'!$A$1:$J$62</definedName>
    <definedName name="_xlnm.Print_Area" localSheetId="33">'7.Koryto'!$A$1:$G$55</definedName>
    <definedName name="_xlnm.Print_Area" localSheetId="11">'8'!$A$1:$J$58</definedName>
    <definedName name="_xlnm.Print_Area" localSheetId="34">'8.odcinająca'!$A$1:$G$54</definedName>
    <definedName name="_xlnm.Print_Area" localSheetId="12">'9'!$A$1:$J$61</definedName>
    <definedName name="_xlnm.Print_Area" localSheetId="35">'9.wiążąca'!$A$1:$G$46</definedName>
    <definedName name="_xlnm.Print_Area" localSheetId="25">KI_4!$A$1:$I$192</definedName>
    <definedName name="_xlnm.Print_Area" localSheetId="5">'KI3'!$A$1:$D$23</definedName>
    <definedName name="_xlnm.Print_Area" localSheetId="23">'KI4-STARE'!$A$1:$K$295</definedName>
    <definedName name="_xlnm.Print_Area" localSheetId="1">KO_1!$A$1:$I$35</definedName>
    <definedName name="_xlnm.Print_Area" localSheetId="2">KO_4!$A$1:$I$192</definedName>
    <definedName name="_xlnm.Print_Area" localSheetId="24">'KO4-STARE'!$A$1:$K$282</definedName>
    <definedName name="_xlnm.Print_Area" localSheetId="26">PR2_ZRID!$A$1:$F$180</definedName>
  </definedNames>
  <calcPr calcId="152511" fullPrecision="0"/>
</workbook>
</file>

<file path=xl/calcChain.xml><?xml version="1.0" encoding="utf-8"?>
<calcChain xmlns="http://schemas.openxmlformats.org/spreadsheetml/2006/main">
  <c r="H97" i="100" l="1"/>
  <c r="H96" i="100"/>
  <c r="H58" i="120" l="1"/>
  <c r="J56" i="120"/>
  <c r="E56" i="120"/>
  <c r="D56" i="120"/>
  <c r="J55" i="120"/>
  <c r="H51" i="120"/>
  <c r="D50" i="120"/>
  <c r="H48" i="120"/>
  <c r="E44" i="120"/>
  <c r="D44" i="120"/>
  <c r="H42" i="120"/>
  <c r="E41" i="120"/>
  <c r="D41" i="120"/>
  <c r="H39" i="120"/>
  <c r="E37" i="120"/>
  <c r="D37" i="120"/>
  <c r="H35" i="120"/>
  <c r="E33" i="120"/>
  <c r="D33" i="120"/>
  <c r="H31" i="120"/>
  <c r="H28" i="120"/>
  <c r="H26" i="120"/>
  <c r="H24" i="120"/>
  <c r="E21" i="120"/>
  <c r="D21" i="120"/>
  <c r="H19" i="120"/>
  <c r="D15" i="120"/>
  <c r="H13" i="120"/>
  <c r="E11" i="120"/>
  <c r="D11" i="120"/>
  <c r="H9" i="120"/>
  <c r="D7" i="120"/>
  <c r="H54" i="120" l="1"/>
  <c r="M5" i="119" l="1"/>
  <c r="H58" i="119" s="1"/>
  <c r="J56" i="119"/>
  <c r="E56" i="119"/>
  <c r="D56" i="119"/>
  <c r="J55" i="119"/>
  <c r="H51" i="119"/>
  <c r="D50" i="119"/>
  <c r="H48" i="119"/>
  <c r="E44" i="119"/>
  <c r="D44" i="119"/>
  <c r="H42" i="119"/>
  <c r="E41" i="119"/>
  <c r="D41" i="119"/>
  <c r="H39" i="119"/>
  <c r="E37" i="119"/>
  <c r="D37" i="119"/>
  <c r="H35" i="119"/>
  <c r="E33" i="119"/>
  <c r="D33" i="119"/>
  <c r="H31" i="119"/>
  <c r="H27" i="119"/>
  <c r="H23" i="119"/>
  <c r="H25" i="119" s="1"/>
  <c r="E20" i="119"/>
  <c r="D20" i="119"/>
  <c r="D14" i="119"/>
  <c r="E11" i="119"/>
  <c r="D11" i="119"/>
  <c r="D7" i="119"/>
  <c r="H59" i="117"/>
  <c r="K64" i="117"/>
  <c r="H16" i="117"/>
  <c r="H19" i="117"/>
  <c r="H25" i="117"/>
  <c r="H30" i="117" s="1"/>
  <c r="H24" i="117"/>
  <c r="H59" i="118"/>
  <c r="J57" i="118"/>
  <c r="E57" i="118"/>
  <c r="D57" i="118"/>
  <c r="J56" i="118"/>
  <c r="H52" i="118"/>
  <c r="D51" i="118"/>
  <c r="H49" i="118"/>
  <c r="E45" i="118"/>
  <c r="D45" i="118"/>
  <c r="H43" i="118"/>
  <c r="E42" i="118"/>
  <c r="D42" i="118"/>
  <c r="H40" i="118"/>
  <c r="E38" i="118"/>
  <c r="D38" i="118"/>
  <c r="H36" i="118"/>
  <c r="E34" i="118"/>
  <c r="D34" i="118"/>
  <c r="H32" i="118"/>
  <c r="H28" i="118"/>
  <c r="H24" i="118"/>
  <c r="H26" i="118" s="1"/>
  <c r="E21" i="118"/>
  <c r="D21" i="118"/>
  <c r="H19" i="118"/>
  <c r="H15" i="118"/>
  <c r="D14" i="118"/>
  <c r="E11" i="118"/>
  <c r="D11" i="118"/>
  <c r="H9" i="118"/>
  <c r="H55" i="118" s="1"/>
  <c r="D7" i="118"/>
  <c r="H9" i="119" l="1"/>
  <c r="H54" i="119" s="1"/>
  <c r="H18" i="119"/>
  <c r="H28" i="119"/>
  <c r="H27" i="117"/>
  <c r="H29" i="118"/>
  <c r="H29" i="117"/>
  <c r="H61" i="117"/>
  <c r="E58" i="117"/>
  <c r="D58" i="117"/>
  <c r="H53" i="117"/>
  <c r="D52" i="117"/>
  <c r="H50" i="117"/>
  <c r="E46" i="117"/>
  <c r="D46" i="117"/>
  <c r="H44" i="117"/>
  <c r="E43" i="117"/>
  <c r="D43" i="117"/>
  <c r="H41" i="117"/>
  <c r="E39" i="117"/>
  <c r="D39" i="117"/>
  <c r="H37" i="117"/>
  <c r="E35" i="117"/>
  <c r="D35" i="117"/>
  <c r="H33" i="117"/>
  <c r="E21" i="117"/>
  <c r="D21" i="117"/>
  <c r="D14" i="117"/>
  <c r="E11" i="117"/>
  <c r="D11" i="117"/>
  <c r="H9" i="117"/>
  <c r="H56" i="117" s="1"/>
  <c r="D7" i="117"/>
  <c r="H59" i="116"/>
  <c r="J57" i="116"/>
  <c r="E57" i="116"/>
  <c r="D57" i="116"/>
  <c r="J56" i="116"/>
  <c r="H52" i="116"/>
  <c r="D51" i="116"/>
  <c r="H49" i="116"/>
  <c r="E45" i="116"/>
  <c r="D45" i="116"/>
  <c r="H43" i="116"/>
  <c r="E42" i="116"/>
  <c r="D42" i="116"/>
  <c r="H40" i="116"/>
  <c r="E38" i="116"/>
  <c r="D38" i="116"/>
  <c r="H36" i="116"/>
  <c r="E34" i="116"/>
  <c r="D34" i="116"/>
  <c r="H32" i="116"/>
  <c r="H29" i="116"/>
  <c r="H27" i="116"/>
  <c r="H25" i="116"/>
  <c r="E22" i="116"/>
  <c r="D22" i="116"/>
  <c r="H20" i="116"/>
  <c r="D15" i="116"/>
  <c r="H13" i="116"/>
  <c r="E11" i="116"/>
  <c r="D11" i="116"/>
  <c r="H9" i="116"/>
  <c r="H55" i="116" s="1"/>
  <c r="D7" i="116"/>
  <c r="H58" i="115"/>
  <c r="J56" i="115"/>
  <c r="E56" i="115"/>
  <c r="D56" i="115"/>
  <c r="J55" i="115"/>
  <c r="H51" i="115"/>
  <c r="D50" i="115"/>
  <c r="H48" i="115"/>
  <c r="E44" i="115"/>
  <c r="D44" i="115"/>
  <c r="H42" i="115"/>
  <c r="E41" i="115"/>
  <c r="D41" i="115"/>
  <c r="H39" i="115"/>
  <c r="E37" i="115"/>
  <c r="D37" i="115"/>
  <c r="H35" i="115"/>
  <c r="E33" i="115"/>
  <c r="D33" i="115"/>
  <c r="H31" i="115"/>
  <c r="H28" i="115"/>
  <c r="H26" i="115"/>
  <c r="H24" i="115"/>
  <c r="E21" i="115"/>
  <c r="D21" i="115"/>
  <c r="H19" i="115"/>
  <c r="D15" i="115"/>
  <c r="H13" i="115"/>
  <c r="E11" i="115"/>
  <c r="D11" i="115"/>
  <c r="H9" i="115"/>
  <c r="H54" i="115" s="1"/>
  <c r="D7" i="115"/>
  <c r="H58" i="114"/>
  <c r="J56" i="114"/>
  <c r="E56" i="114"/>
  <c r="D56" i="114"/>
  <c r="J55" i="114"/>
  <c r="H51" i="114"/>
  <c r="D50" i="114"/>
  <c r="H48" i="114"/>
  <c r="E44" i="114"/>
  <c r="D44" i="114"/>
  <c r="H42" i="114"/>
  <c r="E41" i="114"/>
  <c r="D41" i="114"/>
  <c r="H39" i="114"/>
  <c r="E37" i="114"/>
  <c r="D37" i="114"/>
  <c r="H35" i="114"/>
  <c r="E33" i="114"/>
  <c r="D33" i="114"/>
  <c r="H31" i="114"/>
  <c r="H28" i="114"/>
  <c r="H26" i="114"/>
  <c r="H24" i="114"/>
  <c r="E21" i="114"/>
  <c r="D21" i="114"/>
  <c r="H19" i="114"/>
  <c r="D15" i="114"/>
  <c r="H13" i="114"/>
  <c r="E11" i="114"/>
  <c r="D11" i="114"/>
  <c r="H9" i="114"/>
  <c r="D7" i="114"/>
  <c r="H49" i="104"/>
  <c r="H42" i="104"/>
  <c r="H14" i="104"/>
  <c r="H19" i="104"/>
  <c r="H59" i="113"/>
  <c r="J57" i="113"/>
  <c r="E57" i="113"/>
  <c r="D57" i="113"/>
  <c r="J56" i="113"/>
  <c r="H52" i="113"/>
  <c r="D51" i="113"/>
  <c r="H49" i="113"/>
  <c r="E45" i="113"/>
  <c r="D45" i="113"/>
  <c r="H43" i="113"/>
  <c r="E42" i="113"/>
  <c r="D42" i="113"/>
  <c r="H40" i="113"/>
  <c r="E38" i="113"/>
  <c r="D38" i="113"/>
  <c r="H36" i="113"/>
  <c r="E34" i="113"/>
  <c r="D34" i="113"/>
  <c r="H32" i="113"/>
  <c r="H29" i="113"/>
  <c r="H27" i="113"/>
  <c r="H25" i="113"/>
  <c r="E22" i="113"/>
  <c r="D22" i="113"/>
  <c r="H20" i="113"/>
  <c r="D15" i="113"/>
  <c r="H13" i="113"/>
  <c r="E11" i="113"/>
  <c r="D11" i="113"/>
  <c r="H9" i="113"/>
  <c r="D7" i="113"/>
  <c r="H58" i="111"/>
  <c r="H51" i="111"/>
  <c r="H28" i="111"/>
  <c r="H27" i="111"/>
  <c r="H25" i="111"/>
  <c r="H23" i="111"/>
  <c r="H18" i="111"/>
  <c r="H13" i="111"/>
  <c r="H9" i="111"/>
  <c r="J56" i="111"/>
  <c r="E56" i="111"/>
  <c r="D56" i="111"/>
  <c r="J55" i="111"/>
  <c r="D50" i="111"/>
  <c r="H48" i="111"/>
  <c r="E44" i="111"/>
  <c r="D44" i="111"/>
  <c r="H42" i="111"/>
  <c r="E41" i="111"/>
  <c r="D41" i="111"/>
  <c r="H39" i="111"/>
  <c r="E37" i="111"/>
  <c r="D37" i="111"/>
  <c r="H35" i="111"/>
  <c r="E33" i="111"/>
  <c r="D33" i="111"/>
  <c r="H31" i="111"/>
  <c r="E20" i="111"/>
  <c r="D20" i="111"/>
  <c r="D15" i="111"/>
  <c r="E11" i="111"/>
  <c r="D11" i="111"/>
  <c r="D7" i="111"/>
  <c r="H58" i="110"/>
  <c r="H51" i="110"/>
  <c r="H28" i="110"/>
  <c r="H27" i="110"/>
  <c r="H23" i="110"/>
  <c r="H25" i="110" s="1"/>
  <c r="H18" i="110"/>
  <c r="H9" i="110"/>
  <c r="H54" i="110" s="1"/>
  <c r="J56" i="110"/>
  <c r="E56" i="110"/>
  <c r="D56" i="110"/>
  <c r="J55" i="110"/>
  <c r="D50" i="110"/>
  <c r="H48" i="110"/>
  <c r="E44" i="110"/>
  <c r="D44" i="110"/>
  <c r="H42" i="110"/>
  <c r="E41" i="110"/>
  <c r="D41" i="110"/>
  <c r="H39" i="110"/>
  <c r="E37" i="110"/>
  <c r="D37" i="110"/>
  <c r="H35" i="110"/>
  <c r="E33" i="110"/>
  <c r="D33" i="110"/>
  <c r="H31" i="110"/>
  <c r="E20" i="110"/>
  <c r="D20" i="110"/>
  <c r="D14" i="110"/>
  <c r="E11" i="110"/>
  <c r="D11" i="110"/>
  <c r="D7" i="110"/>
  <c r="H9" i="109"/>
  <c r="H55" i="109"/>
  <c r="H48" i="109"/>
  <c r="H25" i="109"/>
  <c r="H24" i="109"/>
  <c r="H22" i="109"/>
  <c r="H20" i="109"/>
  <c r="J53" i="109"/>
  <c r="E53" i="109"/>
  <c r="D53" i="109"/>
  <c r="J52" i="109"/>
  <c r="D47" i="109"/>
  <c r="H45" i="109"/>
  <c r="E41" i="109"/>
  <c r="D41" i="109"/>
  <c r="H39" i="109"/>
  <c r="E38" i="109"/>
  <c r="D38" i="109"/>
  <c r="H36" i="109"/>
  <c r="E34" i="109"/>
  <c r="D34" i="109"/>
  <c r="H32" i="109"/>
  <c r="E30" i="109"/>
  <c r="D30" i="109"/>
  <c r="H28" i="109"/>
  <c r="E17" i="109"/>
  <c r="D17" i="109"/>
  <c r="D14" i="109"/>
  <c r="E11" i="109"/>
  <c r="D11" i="109"/>
  <c r="D7" i="109"/>
  <c r="H28" i="108"/>
  <c r="H29" i="108"/>
  <c r="H26" i="108"/>
  <c r="H24" i="108"/>
  <c r="H13" i="108"/>
  <c r="H59" i="108"/>
  <c r="J57" i="108"/>
  <c r="E57" i="108"/>
  <c r="D57" i="108"/>
  <c r="J56" i="108"/>
  <c r="H52" i="108"/>
  <c r="D51" i="108"/>
  <c r="H49" i="108"/>
  <c r="E45" i="108"/>
  <c r="D45" i="108"/>
  <c r="H43" i="108"/>
  <c r="E42" i="108"/>
  <c r="D42" i="108"/>
  <c r="H40" i="108"/>
  <c r="E38" i="108"/>
  <c r="D38" i="108"/>
  <c r="H36" i="108"/>
  <c r="E34" i="108"/>
  <c r="D34" i="108"/>
  <c r="H32" i="108"/>
  <c r="E21" i="108"/>
  <c r="D21" i="108"/>
  <c r="H19" i="108"/>
  <c r="D15" i="108"/>
  <c r="E11" i="108"/>
  <c r="D11" i="108"/>
  <c r="H9" i="108"/>
  <c r="H55" i="108" s="1"/>
  <c r="D7" i="108"/>
  <c r="H58" i="107"/>
  <c r="H51" i="107"/>
  <c r="H28" i="107"/>
  <c r="H26" i="107"/>
  <c r="H24" i="107"/>
  <c r="H19" i="107"/>
  <c r="H13" i="107"/>
  <c r="H9" i="107"/>
  <c r="H54" i="107" s="1"/>
  <c r="J56" i="107"/>
  <c r="E56" i="107"/>
  <c r="D56" i="107"/>
  <c r="J55" i="107"/>
  <c r="D50" i="107"/>
  <c r="H48" i="107"/>
  <c r="E44" i="107"/>
  <c r="D44" i="107"/>
  <c r="H42" i="107"/>
  <c r="E41" i="107"/>
  <c r="D41" i="107"/>
  <c r="H39" i="107"/>
  <c r="E37" i="107"/>
  <c r="D37" i="107"/>
  <c r="H35" i="107"/>
  <c r="E33" i="107"/>
  <c r="D33" i="107"/>
  <c r="H31" i="107"/>
  <c r="E21" i="107"/>
  <c r="D21" i="107"/>
  <c r="D15" i="107"/>
  <c r="E11" i="107"/>
  <c r="D11" i="107"/>
  <c r="D7" i="107"/>
  <c r="H58" i="106"/>
  <c r="H51" i="106"/>
  <c r="H28" i="106"/>
  <c r="H27" i="106"/>
  <c r="H25" i="106"/>
  <c r="H23" i="106"/>
  <c r="H18" i="106"/>
  <c r="H9" i="106"/>
  <c r="H54" i="106" s="1"/>
  <c r="J56" i="106"/>
  <c r="E56" i="106"/>
  <c r="D56" i="106"/>
  <c r="J55" i="106"/>
  <c r="D50" i="106"/>
  <c r="H48" i="106"/>
  <c r="E44" i="106"/>
  <c r="D44" i="106"/>
  <c r="H42" i="106"/>
  <c r="E41" i="106"/>
  <c r="D41" i="106"/>
  <c r="H39" i="106"/>
  <c r="E37" i="106"/>
  <c r="D37" i="106"/>
  <c r="H35" i="106"/>
  <c r="E33" i="106"/>
  <c r="D33" i="106"/>
  <c r="H31" i="106"/>
  <c r="E20" i="106"/>
  <c r="D20" i="106"/>
  <c r="D14" i="106"/>
  <c r="E11" i="106"/>
  <c r="D11" i="106"/>
  <c r="D7" i="106"/>
  <c r="H58" i="105"/>
  <c r="H51" i="105"/>
  <c r="H28" i="105"/>
  <c r="H27" i="105"/>
  <c r="H25" i="105"/>
  <c r="H23" i="105"/>
  <c r="H18" i="105"/>
  <c r="H9" i="105"/>
  <c r="H54" i="105" s="1"/>
  <c r="J56" i="105"/>
  <c r="E56" i="105"/>
  <c r="D56" i="105"/>
  <c r="J55" i="105"/>
  <c r="D50" i="105"/>
  <c r="H48" i="105"/>
  <c r="E44" i="105"/>
  <c r="D44" i="105"/>
  <c r="H42" i="105"/>
  <c r="E41" i="105"/>
  <c r="D41" i="105"/>
  <c r="H39" i="105"/>
  <c r="E37" i="105"/>
  <c r="D37" i="105"/>
  <c r="H35" i="105"/>
  <c r="E33" i="105"/>
  <c r="D33" i="105"/>
  <c r="H31" i="105"/>
  <c r="E20" i="105"/>
  <c r="D20" i="105"/>
  <c r="D14" i="105"/>
  <c r="E11" i="105"/>
  <c r="D11" i="105"/>
  <c r="D7" i="105"/>
  <c r="H45" i="104"/>
  <c r="J47" i="104"/>
  <c r="E47" i="104"/>
  <c r="D47" i="104"/>
  <c r="J46" i="104"/>
  <c r="D41" i="104"/>
  <c r="H39" i="104"/>
  <c r="E35" i="104"/>
  <c r="D35" i="104"/>
  <c r="H33" i="104"/>
  <c r="E32" i="104"/>
  <c r="D32" i="104"/>
  <c r="H30" i="104"/>
  <c r="E28" i="104"/>
  <c r="D28" i="104"/>
  <c r="H26" i="104"/>
  <c r="E24" i="104"/>
  <c r="D24" i="104"/>
  <c r="H22" i="104"/>
  <c r="E16" i="104"/>
  <c r="D16" i="104"/>
  <c r="E11" i="104"/>
  <c r="D11" i="104"/>
  <c r="D7" i="104"/>
  <c r="H54" i="114" l="1"/>
  <c r="H55" i="113"/>
  <c r="H54" i="111"/>
  <c r="H51" i="109"/>
  <c r="E36" i="100" l="1"/>
  <c r="D36" i="100" l="1"/>
  <c r="D43" i="100" l="1"/>
  <c r="E95" i="100"/>
  <c r="D95" i="100"/>
  <c r="E88" i="100"/>
  <c r="D88" i="100"/>
  <c r="H86" i="100"/>
  <c r="D84" i="100"/>
  <c r="E82" i="100"/>
  <c r="D82" i="100"/>
  <c r="H80" i="100"/>
  <c r="E78" i="100"/>
  <c r="D78" i="100"/>
  <c r="E75" i="100"/>
  <c r="E73" i="100"/>
  <c r="D73" i="100"/>
  <c r="D70" i="100"/>
  <c r="H68" i="100"/>
  <c r="E64" i="100"/>
  <c r="D64" i="100"/>
  <c r="H62" i="100"/>
  <c r="E61" i="100"/>
  <c r="D61" i="100"/>
  <c r="H59" i="100"/>
  <c r="E57" i="100"/>
  <c r="D57" i="100"/>
  <c r="H55" i="100"/>
  <c r="E53" i="100"/>
  <c r="D53" i="100"/>
  <c r="H51" i="100"/>
  <c r="D48" i="100"/>
  <c r="H46" i="100"/>
  <c r="D40" i="100"/>
  <c r="H38" i="100"/>
  <c r="E31" i="100"/>
  <c r="D31" i="100"/>
  <c r="H29" i="100"/>
  <c r="E28" i="100"/>
  <c r="D28" i="100"/>
  <c r="E23" i="100"/>
  <c r="H18" i="100"/>
  <c r="J18" i="100" s="1"/>
  <c r="D17" i="100"/>
  <c r="E11" i="100"/>
  <c r="D11" i="100"/>
  <c r="D7" i="100"/>
  <c r="H76" i="100" l="1"/>
  <c r="D23" i="100"/>
  <c r="D75" i="100"/>
  <c r="H230" i="93" l="1"/>
  <c r="H242" i="93"/>
  <c r="K243" i="93"/>
  <c r="K242" i="93"/>
  <c r="K241" i="93"/>
  <c r="D241" i="93"/>
  <c r="H217" i="93" l="1"/>
  <c r="H219" i="93"/>
  <c r="D220" i="93" s="1"/>
  <c r="I102" i="93"/>
  <c r="H104" i="93"/>
  <c r="D105" i="93" s="1"/>
  <c r="I103" i="93" l="1"/>
  <c r="K103" i="93" s="1"/>
  <c r="H165" i="92" l="1"/>
  <c r="H164" i="92"/>
  <c r="H162" i="92"/>
  <c r="H161" i="92"/>
  <c r="H160" i="92"/>
  <c r="H140" i="92"/>
  <c r="H139" i="92"/>
  <c r="H137" i="92"/>
  <c r="H136" i="92"/>
  <c r="H130" i="92"/>
  <c r="H129" i="92"/>
  <c r="H108" i="92"/>
  <c r="H107" i="92"/>
  <c r="H101" i="92"/>
  <c r="H100" i="92"/>
  <c r="H94" i="92"/>
  <c r="H93" i="92"/>
  <c r="H87" i="92"/>
  <c r="H86" i="92"/>
  <c r="H78" i="92"/>
  <c r="H77" i="92"/>
  <c r="H75" i="92"/>
  <c r="H74" i="92"/>
  <c r="H72" i="92"/>
  <c r="H71" i="92"/>
  <c r="H69" i="92"/>
  <c r="H68" i="92"/>
  <c r="H66" i="92"/>
  <c r="H65" i="92"/>
  <c r="H64" i="92"/>
  <c r="H63" i="92"/>
  <c r="H62" i="92"/>
  <c r="H60" i="92"/>
  <c r="H59" i="92"/>
  <c r="H58" i="92"/>
  <c r="H57" i="92"/>
  <c r="H56" i="92"/>
  <c r="H35" i="92"/>
  <c r="H32" i="92"/>
  <c r="H29" i="92"/>
  <c r="K282" i="93"/>
  <c r="K284" i="93"/>
  <c r="K286" i="93"/>
  <c r="K288" i="93"/>
  <c r="K267" i="93"/>
  <c r="K269" i="93"/>
  <c r="K271" i="93"/>
  <c r="K273" i="93"/>
  <c r="K247" i="93"/>
  <c r="K249" i="93"/>
  <c r="K251" i="93"/>
  <c r="K253" i="93"/>
  <c r="K255" i="93"/>
  <c r="K257" i="93"/>
  <c r="K259" i="93"/>
  <c r="K260" i="93"/>
  <c r="K227" i="93"/>
  <c r="K229" i="93"/>
  <c r="K230" i="93"/>
  <c r="K231" i="93"/>
  <c r="K232" i="93"/>
  <c r="H210" i="93" l="1"/>
  <c r="H169" i="93"/>
  <c r="D234" i="93"/>
  <c r="H233" i="93"/>
  <c r="H232" i="93"/>
  <c r="H231" i="93"/>
  <c r="H229" i="93"/>
  <c r="H228" i="93" s="1"/>
  <c r="H227" i="93"/>
  <c r="H226" i="93" s="1"/>
  <c r="H262" i="93"/>
  <c r="H261" i="93" s="1"/>
  <c r="H260" i="93"/>
  <c r="H259" i="93"/>
  <c r="H258" i="93" s="1"/>
  <c r="D257" i="93"/>
  <c r="H255" i="93"/>
  <c r="D253" i="93"/>
  <c r="H253" i="93" s="1"/>
  <c r="H252" i="93" s="1"/>
  <c r="H251" i="93"/>
  <c r="H250" i="93" s="1"/>
  <c r="H249" i="93"/>
  <c r="H247" i="93"/>
  <c r="D275" i="93"/>
  <c r="H274" i="93"/>
  <c r="H271" i="93"/>
  <c r="H273" i="93" s="1"/>
  <c r="I289" i="93"/>
  <c r="K289" i="93" s="1"/>
  <c r="H289" i="93"/>
  <c r="H286" i="93"/>
  <c r="H288" i="93" s="1"/>
  <c r="H276" i="92"/>
  <c r="H261" i="92"/>
  <c r="H225" i="92"/>
  <c r="D229" i="93" l="1"/>
  <c r="H282" i="93"/>
  <c r="D282" i="93" s="1"/>
  <c r="H284" i="93"/>
  <c r="H283" i="93" s="1"/>
  <c r="D227" i="93"/>
  <c r="D232" i="93"/>
  <c r="D273" i="93"/>
  <c r="H272" i="93"/>
  <c r="H269" i="93"/>
  <c r="H267" i="93"/>
  <c r="H270" i="93"/>
  <c r="H287" i="93"/>
  <c r="D288" i="93"/>
  <c r="I287" i="93"/>
  <c r="K287" i="93" s="1"/>
  <c r="H285" i="93"/>
  <c r="I285" i="93"/>
  <c r="K285" i="93" s="1"/>
  <c r="K35" i="93"/>
  <c r="K32" i="93"/>
  <c r="K29" i="93"/>
  <c r="K56" i="93"/>
  <c r="K57" i="93"/>
  <c r="K58" i="93"/>
  <c r="K59" i="93"/>
  <c r="K60" i="93"/>
  <c r="K62" i="93"/>
  <c r="K63" i="93"/>
  <c r="K64" i="93"/>
  <c r="K65" i="93"/>
  <c r="K66" i="93"/>
  <c r="K68" i="93"/>
  <c r="K69" i="93"/>
  <c r="K72" i="93"/>
  <c r="K74" i="93"/>
  <c r="K75" i="93"/>
  <c r="K77" i="93"/>
  <c r="K78" i="93"/>
  <c r="D290" i="93"/>
  <c r="I274" i="93"/>
  <c r="K274" i="93" s="1"/>
  <c r="I261" i="93"/>
  <c r="K261" i="93" s="1"/>
  <c r="I258" i="93"/>
  <c r="K258" i="93" s="1"/>
  <c r="I256" i="93"/>
  <c r="K256" i="93" s="1"/>
  <c r="I254" i="93"/>
  <c r="K254" i="93" s="1"/>
  <c r="I252" i="93"/>
  <c r="K252" i="93" s="1"/>
  <c r="I250" i="93"/>
  <c r="K250" i="93" s="1"/>
  <c r="I248" i="93"/>
  <c r="K248" i="93" s="1"/>
  <c r="I246" i="93"/>
  <c r="K246" i="93" s="1"/>
  <c r="I233" i="93"/>
  <c r="K233" i="93" s="1"/>
  <c r="I228" i="93"/>
  <c r="K228" i="93" s="1"/>
  <c r="D218" i="93"/>
  <c r="I216" i="93"/>
  <c r="D214" i="93"/>
  <c r="I212" i="93"/>
  <c r="D211" i="93"/>
  <c r="I209" i="93"/>
  <c r="D201" i="93"/>
  <c r="I199" i="93"/>
  <c r="D195" i="93"/>
  <c r="I193" i="93"/>
  <c r="D191" i="93"/>
  <c r="I189" i="93"/>
  <c r="E184" i="93"/>
  <c r="D184" i="93"/>
  <c r="I182" i="93"/>
  <c r="K182" i="93" s="1"/>
  <c r="E181" i="93"/>
  <c r="D181" i="93"/>
  <c r="I179" i="93"/>
  <c r="K179" i="93" s="1"/>
  <c r="E175" i="93"/>
  <c r="D175" i="93"/>
  <c r="I173" i="93"/>
  <c r="D172" i="93"/>
  <c r="I170" i="93"/>
  <c r="H163" i="92" s="1"/>
  <c r="E168" i="93"/>
  <c r="H167" i="93"/>
  <c r="D168" i="93" s="1"/>
  <c r="E162" i="93"/>
  <c r="D162" i="93"/>
  <c r="E158" i="93"/>
  <c r="D158" i="93"/>
  <c r="I156" i="93"/>
  <c r="E154" i="93"/>
  <c r="H153" i="93"/>
  <c r="D154" i="93" s="1"/>
  <c r="E147" i="93"/>
  <c r="E144" i="93"/>
  <c r="E141" i="93"/>
  <c r="H140" i="93"/>
  <c r="H143" i="93" s="1"/>
  <c r="E137" i="93"/>
  <c r="D137" i="93"/>
  <c r="I135" i="93"/>
  <c r="E134" i="93"/>
  <c r="D134" i="93"/>
  <c r="I132" i="93"/>
  <c r="E130" i="93"/>
  <c r="D130" i="93"/>
  <c r="I128" i="93"/>
  <c r="E126" i="93"/>
  <c r="H114" i="93"/>
  <c r="D115" i="93" s="1"/>
  <c r="E108" i="93"/>
  <c r="H107" i="93"/>
  <c r="I106" i="93" s="1"/>
  <c r="E101" i="93"/>
  <c r="E97" i="93"/>
  <c r="E94" i="93"/>
  <c r="E90" i="93"/>
  <c r="H89" i="93"/>
  <c r="I88" i="93" s="1"/>
  <c r="E87" i="93"/>
  <c r="H86" i="93"/>
  <c r="I85" i="93" s="1"/>
  <c r="T85" i="93"/>
  <c r="U83" i="93"/>
  <c r="S83" i="93"/>
  <c r="I79" i="93"/>
  <c r="I76" i="93"/>
  <c r="D75" i="93"/>
  <c r="I73" i="93"/>
  <c r="H71" i="93"/>
  <c r="K71" i="93" s="1"/>
  <c r="I67" i="93"/>
  <c r="D63" i="93"/>
  <c r="I61" i="93"/>
  <c r="D57" i="93"/>
  <c r="I55" i="93"/>
  <c r="E50" i="93"/>
  <c r="H49" i="93"/>
  <c r="D50" i="93" s="1"/>
  <c r="U47" i="93"/>
  <c r="E46" i="93"/>
  <c r="H45" i="93"/>
  <c r="I44" i="93" s="1"/>
  <c r="D40" i="93"/>
  <c r="I38" i="93"/>
  <c r="D37" i="93"/>
  <c r="D34" i="93"/>
  <c r="D31" i="93"/>
  <c r="E27" i="93"/>
  <c r="D27" i="93"/>
  <c r="I25" i="93"/>
  <c r="D23" i="93"/>
  <c r="I21" i="93"/>
  <c r="E19" i="93"/>
  <c r="D19" i="93"/>
  <c r="I17" i="93"/>
  <c r="I11" i="93"/>
  <c r="K11" i="93" s="1"/>
  <c r="I10" i="93"/>
  <c r="K10" i="93" s="1"/>
  <c r="I9" i="93"/>
  <c r="K9" i="93" s="1"/>
  <c r="I8" i="93"/>
  <c r="K8" i="93" s="1"/>
  <c r="I7" i="93"/>
  <c r="K7" i="93" s="1"/>
  <c r="B7" i="93"/>
  <c r="B8" i="93" s="1"/>
  <c r="H281" i="93" l="1"/>
  <c r="D284" i="93"/>
  <c r="D90" i="93"/>
  <c r="H93" i="93"/>
  <c r="I92" i="93" s="1"/>
  <c r="H92" i="92" s="1"/>
  <c r="K38" i="93"/>
  <c r="H38" i="92"/>
  <c r="K67" i="93"/>
  <c r="H67" i="92"/>
  <c r="K88" i="93"/>
  <c r="H88" i="92"/>
  <c r="D141" i="93"/>
  <c r="I166" i="93"/>
  <c r="K44" i="93"/>
  <c r="H44" i="92"/>
  <c r="D72" i="93"/>
  <c r="K128" i="93"/>
  <c r="H124" i="92"/>
  <c r="K189" i="93"/>
  <c r="K192" i="93" s="1"/>
  <c r="L192" i="93" s="1"/>
  <c r="H182" i="92"/>
  <c r="K73" i="93"/>
  <c r="H73" i="92"/>
  <c r="K216" i="93"/>
  <c r="H209" i="92"/>
  <c r="K21" i="93"/>
  <c r="H21" i="92"/>
  <c r="K193" i="93"/>
  <c r="H186" i="92"/>
  <c r="K132" i="93"/>
  <c r="H128" i="92"/>
  <c r="K173" i="93"/>
  <c r="H166" i="92"/>
  <c r="D46" i="93"/>
  <c r="K76" i="93"/>
  <c r="H76" i="92"/>
  <c r="K25" i="93"/>
  <c r="H25" i="92"/>
  <c r="K79" i="93"/>
  <c r="H79" i="92"/>
  <c r="K156" i="93"/>
  <c r="H149" i="92"/>
  <c r="K199" i="93"/>
  <c r="H192" i="92"/>
  <c r="K17" i="93"/>
  <c r="H17" i="92"/>
  <c r="K212" i="93"/>
  <c r="H205" i="92"/>
  <c r="K106" i="93"/>
  <c r="H102" i="92"/>
  <c r="K135" i="93"/>
  <c r="H131" i="92"/>
  <c r="K185" i="93"/>
  <c r="L185" i="93" s="1"/>
  <c r="K263" i="93"/>
  <c r="K55" i="93"/>
  <c r="H55" i="92"/>
  <c r="H196" i="92"/>
  <c r="I281" i="93"/>
  <c r="K281" i="93" s="1"/>
  <c r="K61" i="93"/>
  <c r="H61" i="92"/>
  <c r="K85" i="93"/>
  <c r="H85" i="92"/>
  <c r="K209" i="93"/>
  <c r="H202" i="92"/>
  <c r="I283" i="93"/>
  <c r="K283" i="93" s="1"/>
  <c r="D87" i="93"/>
  <c r="I70" i="93"/>
  <c r="D108" i="93"/>
  <c r="I152" i="93"/>
  <c r="I139" i="93"/>
  <c r="D267" i="93"/>
  <c r="H266" i="93"/>
  <c r="D269" i="93"/>
  <c r="H268" i="93"/>
  <c r="I270" i="93"/>
  <c r="K270" i="93" s="1"/>
  <c r="K12" i="93"/>
  <c r="I268" i="93"/>
  <c r="K268" i="93" s="1"/>
  <c r="H96" i="93"/>
  <c r="I142" i="93"/>
  <c r="D144" i="93"/>
  <c r="I48" i="93"/>
  <c r="I113" i="93"/>
  <c r="I226" i="93"/>
  <c r="K226" i="93" s="1"/>
  <c r="K235" i="93" s="1"/>
  <c r="I272" i="93"/>
  <c r="K272" i="93" s="1"/>
  <c r="D277" i="92"/>
  <c r="I276" i="92"/>
  <c r="H273" i="92"/>
  <c r="D262" i="92"/>
  <c r="I261" i="92"/>
  <c r="H258" i="92"/>
  <c r="H249" i="92"/>
  <c r="H247" i="92"/>
  <c r="I246" i="92" s="1"/>
  <c r="H245" i="92"/>
  <c r="D243" i="92"/>
  <c r="H243" i="92" s="1"/>
  <c r="I242" i="92" s="1"/>
  <c r="H241" i="92"/>
  <c r="I240" i="92" s="1"/>
  <c r="D239" i="92"/>
  <c r="H239" i="92" s="1"/>
  <c r="H237" i="92"/>
  <c r="H235" i="92"/>
  <c r="I234" i="92" s="1"/>
  <c r="H233" i="92"/>
  <c r="I232" i="92" s="1"/>
  <c r="D226" i="92"/>
  <c r="I225" i="92"/>
  <c r="H224" i="92"/>
  <c r="H222" i="92"/>
  <c r="H221" i="92" s="1"/>
  <c r="H220" i="92"/>
  <c r="H218" i="92"/>
  <c r="D211" i="92"/>
  <c r="I209" i="92"/>
  <c r="D207" i="92"/>
  <c r="I205" i="92"/>
  <c r="D204" i="92"/>
  <c r="I202" i="92"/>
  <c r="D198" i="92"/>
  <c r="I196" i="92"/>
  <c r="D194" i="92"/>
  <c r="I192" i="92"/>
  <c r="D188" i="92"/>
  <c r="I186" i="92"/>
  <c r="D184" i="92"/>
  <c r="I182" i="92"/>
  <c r="K185" i="92" s="1"/>
  <c r="L185" i="92" s="1"/>
  <c r="E177" i="92"/>
  <c r="D177" i="92"/>
  <c r="I175" i="92"/>
  <c r="K175" i="92" s="1"/>
  <c r="E174" i="92"/>
  <c r="D174" i="92"/>
  <c r="I172" i="92"/>
  <c r="K172" i="92" s="1"/>
  <c r="E168" i="92"/>
  <c r="D168" i="92"/>
  <c r="I166" i="92"/>
  <c r="D165" i="92"/>
  <c r="I163" i="92"/>
  <c r="E161" i="92"/>
  <c r="I159" i="92"/>
  <c r="E155" i="92"/>
  <c r="D155" i="92"/>
  <c r="E151" i="92"/>
  <c r="D151" i="92"/>
  <c r="I149" i="92"/>
  <c r="E147" i="92"/>
  <c r="H146" i="92"/>
  <c r="I145" i="92" s="1"/>
  <c r="E143" i="92"/>
  <c r="E140" i="92"/>
  <c r="E137" i="92"/>
  <c r="E133" i="92"/>
  <c r="D133" i="92"/>
  <c r="I131" i="92"/>
  <c r="E130" i="92"/>
  <c r="D130" i="92"/>
  <c r="I128" i="92"/>
  <c r="E126" i="92"/>
  <c r="D126" i="92"/>
  <c r="I124" i="92"/>
  <c r="E122" i="92"/>
  <c r="H110" i="92"/>
  <c r="I109" i="92" s="1"/>
  <c r="E104" i="92"/>
  <c r="H103" i="92"/>
  <c r="I102" i="92" s="1"/>
  <c r="E101" i="92"/>
  <c r="E97" i="92"/>
  <c r="E94" i="92"/>
  <c r="E90" i="92"/>
  <c r="H89" i="92"/>
  <c r="I88" i="92" s="1"/>
  <c r="E87" i="92"/>
  <c r="I85" i="92"/>
  <c r="T85" i="92"/>
  <c r="U83" i="92"/>
  <c r="S83" i="92"/>
  <c r="I79" i="92"/>
  <c r="I76" i="92"/>
  <c r="D75" i="92"/>
  <c r="I73" i="92"/>
  <c r="I70" i="92"/>
  <c r="I67" i="92"/>
  <c r="D63" i="92"/>
  <c r="I61" i="92"/>
  <c r="D57" i="92"/>
  <c r="I55" i="92"/>
  <c r="E50" i="92"/>
  <c r="H49" i="92"/>
  <c r="I48" i="92" s="1"/>
  <c r="U47" i="92"/>
  <c r="E46" i="92"/>
  <c r="H45" i="92"/>
  <c r="I44" i="92" s="1"/>
  <c r="D40" i="92"/>
  <c r="I38" i="92"/>
  <c r="D37" i="92"/>
  <c r="I35" i="92"/>
  <c r="D34" i="92"/>
  <c r="I32" i="92"/>
  <c r="D31" i="92"/>
  <c r="I29" i="92"/>
  <c r="E27" i="92"/>
  <c r="D27" i="92"/>
  <c r="I25" i="92"/>
  <c r="D23" i="92"/>
  <c r="I21" i="92"/>
  <c r="E19" i="92"/>
  <c r="D19" i="92"/>
  <c r="I17" i="92"/>
  <c r="I11" i="92"/>
  <c r="I10" i="92"/>
  <c r="I9" i="92"/>
  <c r="I8" i="92"/>
  <c r="I7" i="92"/>
  <c r="B7" i="92"/>
  <c r="B8" i="92" s="1"/>
  <c r="D94" i="93" l="1"/>
  <c r="K92" i="93"/>
  <c r="K221" i="93"/>
  <c r="K291" i="93"/>
  <c r="K292" i="93" s="1"/>
  <c r="K41" i="93"/>
  <c r="K113" i="93"/>
  <c r="H109" i="92"/>
  <c r="K48" i="93"/>
  <c r="K51" i="93" s="1"/>
  <c r="L51" i="93" s="1"/>
  <c r="H48" i="92"/>
  <c r="K166" i="93"/>
  <c r="H159" i="92"/>
  <c r="K142" i="93"/>
  <c r="H138" i="92"/>
  <c r="K139" i="93"/>
  <c r="H135" i="92"/>
  <c r="K70" i="93"/>
  <c r="K82" i="93" s="1"/>
  <c r="H70" i="92"/>
  <c r="K152" i="93"/>
  <c r="H145" i="92"/>
  <c r="K236" i="93"/>
  <c r="K238" i="93" s="1"/>
  <c r="K239" i="93" s="1"/>
  <c r="I217" i="92"/>
  <c r="H217" i="92"/>
  <c r="I219" i="92"/>
  <c r="H219" i="92"/>
  <c r="I223" i="92"/>
  <c r="H223" i="92"/>
  <c r="I266" i="93"/>
  <c r="K266" i="93" s="1"/>
  <c r="K276" i="93" s="1"/>
  <c r="H271" i="92"/>
  <c r="I270" i="92" s="1"/>
  <c r="H272" i="92"/>
  <c r="H260" i="92"/>
  <c r="H259" i="92" s="1"/>
  <c r="H257" i="92"/>
  <c r="I248" i="92"/>
  <c r="H248" i="92"/>
  <c r="I244" i="92"/>
  <c r="H244" i="92"/>
  <c r="I238" i="92"/>
  <c r="H238" i="92"/>
  <c r="I236" i="92"/>
  <c r="H236" i="92"/>
  <c r="L12" i="93"/>
  <c r="K13" i="93"/>
  <c r="I95" i="93"/>
  <c r="D97" i="93"/>
  <c r="D220" i="92"/>
  <c r="I272" i="92"/>
  <c r="D224" i="92"/>
  <c r="H269" i="92"/>
  <c r="D90" i="92"/>
  <c r="H275" i="92"/>
  <c r="D46" i="92"/>
  <c r="D87" i="92"/>
  <c r="D137" i="92"/>
  <c r="D218" i="92"/>
  <c r="I135" i="92"/>
  <c r="K51" i="92"/>
  <c r="L51" i="92" s="1"/>
  <c r="K169" i="92"/>
  <c r="L169" i="92" s="1"/>
  <c r="D140" i="92"/>
  <c r="H96" i="92"/>
  <c r="I138" i="92"/>
  <c r="K178" i="92"/>
  <c r="L178" i="92" s="1"/>
  <c r="D72" i="92"/>
  <c r="D104" i="92"/>
  <c r="D111" i="92"/>
  <c r="D147" i="92"/>
  <c r="D50" i="92"/>
  <c r="D161" i="92"/>
  <c r="H256" i="92"/>
  <c r="H255" i="92" s="1"/>
  <c r="H254" i="92"/>
  <c r="H253" i="92" s="1"/>
  <c r="I257" i="92"/>
  <c r="K52" i="93" l="1"/>
  <c r="K95" i="93"/>
  <c r="H95" i="92"/>
  <c r="K277" i="93"/>
  <c r="K176" i="93"/>
  <c r="L176" i="93" s="1"/>
  <c r="K186" i="93"/>
  <c r="D260" i="92"/>
  <c r="I268" i="92"/>
  <c r="H268" i="92"/>
  <c r="I274" i="92"/>
  <c r="H274" i="92"/>
  <c r="D271" i="92"/>
  <c r="H270" i="92"/>
  <c r="I259" i="92"/>
  <c r="D275" i="92"/>
  <c r="D269" i="92"/>
  <c r="I92" i="92"/>
  <c r="D94" i="92"/>
  <c r="I95" i="92"/>
  <c r="D97" i="92"/>
  <c r="L12" i="92"/>
  <c r="D256" i="92"/>
  <c r="I255" i="92"/>
  <c r="D254" i="92"/>
  <c r="I253" i="92"/>
  <c r="A68" i="14" l="1"/>
  <c r="A56" i="14"/>
  <c r="H146" i="93"/>
  <c r="I145" i="93" l="1"/>
  <c r="D147" i="93"/>
  <c r="H121" i="92"/>
  <c r="I120" i="92" s="1"/>
  <c r="H125" i="93"/>
  <c r="H142" i="92"/>
  <c r="D122" i="92" l="1"/>
  <c r="K145" i="93"/>
  <c r="H141" i="92"/>
  <c r="D126" i="93"/>
  <c r="I124" i="93"/>
  <c r="D143" i="92"/>
  <c r="I141" i="92"/>
  <c r="K152" i="92" s="1"/>
  <c r="L152" i="92" s="1"/>
  <c r="K124" i="93" l="1"/>
  <c r="K163" i="93" s="1"/>
  <c r="H120" i="92"/>
  <c r="H111" i="93" l="1"/>
  <c r="H197" i="93"/>
  <c r="H100" i="93"/>
  <c r="K159" i="93"/>
  <c r="L159" i="93" s="1"/>
  <c r="H190" i="92"/>
  <c r="D101" i="93" l="1"/>
  <c r="I99" i="93"/>
  <c r="D198" i="93"/>
  <c r="I196" i="93"/>
  <c r="H119" i="93"/>
  <c r="I110" i="93"/>
  <c r="D112" i="93"/>
  <c r="I99" i="92"/>
  <c r="K112" i="92" s="1"/>
  <c r="L112" i="92" s="1"/>
  <c r="D101" i="92"/>
  <c r="I106" i="92"/>
  <c r="H115" i="92"/>
  <c r="D108" i="92"/>
  <c r="I189" i="92"/>
  <c r="D191" i="92"/>
  <c r="I118" i="93" l="1"/>
  <c r="D120" i="93"/>
  <c r="K110" i="93"/>
  <c r="H106" i="92"/>
  <c r="K196" i="93"/>
  <c r="H189" i="92"/>
  <c r="K99" i="93"/>
  <c r="H99" i="92"/>
  <c r="I114" i="92"/>
  <c r="D116" i="92"/>
  <c r="K203" i="93" l="1"/>
  <c r="K206" i="93" s="1"/>
  <c r="K116" i="93"/>
  <c r="L116" i="93" s="1"/>
  <c r="K118" i="93"/>
  <c r="K121" i="93" s="1"/>
  <c r="H114" i="92"/>
  <c r="K222" i="93" l="1"/>
  <c r="K293" i="93" s="1"/>
  <c r="K294" i="93" s="1"/>
  <c r="K295" i="93" s="1"/>
  <c r="F16" i="53" l="1"/>
  <c r="F17" i="53"/>
  <c r="F15" i="53"/>
  <c r="F14" i="53"/>
  <c r="E8" i="53"/>
  <c r="G8" i="53" s="1"/>
  <c r="E9" i="53"/>
  <c r="G9" i="53" s="1"/>
  <c r="E6" i="53"/>
  <c r="G6" i="53" s="1"/>
  <c r="E7" i="53"/>
  <c r="G7" i="53" s="1"/>
  <c r="E10" i="53"/>
  <c r="G10" i="53" s="1"/>
  <c r="E11" i="53"/>
  <c r="G11" i="53" s="1"/>
  <c r="E12" i="53"/>
  <c r="G12" i="53" s="1"/>
  <c r="E13" i="53"/>
  <c r="G13" i="53" s="1"/>
  <c r="E14" i="53"/>
  <c r="E15" i="53"/>
  <c r="E16" i="53"/>
  <c r="E17" i="53"/>
  <c r="E18" i="53"/>
  <c r="G18" i="53" s="1"/>
  <c r="E19" i="53"/>
  <c r="G19" i="53" s="1"/>
  <c r="E20" i="53"/>
  <c r="G20" i="53" s="1"/>
  <c r="E21" i="53"/>
  <c r="G21" i="53" s="1"/>
  <c r="E22" i="53"/>
  <c r="G22" i="53" s="1"/>
  <c r="E23" i="53"/>
  <c r="G23" i="53" s="1"/>
  <c r="E24" i="53"/>
  <c r="G24" i="53" s="1"/>
  <c r="E25" i="53"/>
  <c r="G25" i="53" s="1"/>
  <c r="E26" i="53"/>
  <c r="G26" i="53" s="1"/>
  <c r="E27" i="53"/>
  <c r="G27" i="53" s="1"/>
  <c r="E28" i="53"/>
  <c r="G28" i="53" s="1"/>
  <c r="E5" i="53"/>
  <c r="G5" i="53" s="1"/>
  <c r="E4" i="53"/>
  <c r="G4" i="53" s="1"/>
  <c r="G15" i="53" l="1"/>
  <c r="G17" i="53"/>
  <c r="G16" i="53"/>
  <c r="G14" i="53"/>
  <c r="J25" i="35" l="1"/>
  <c r="U25" i="35"/>
  <c r="U28" i="35" s="1"/>
  <c r="V8" i="35"/>
  <c r="V25" i="35" s="1"/>
  <c r="U26" i="35" s="1"/>
  <c r="M7" i="35"/>
  <c r="S6" i="35"/>
  <c r="E6" i="35"/>
  <c r="R5" i="35"/>
  <c r="R6" i="35" s="1"/>
  <c r="E33" i="44"/>
  <c r="I32" i="44" s="1"/>
  <c r="F32" i="44" s="1"/>
  <c r="F33" i="44"/>
  <c r="E36" i="44"/>
  <c r="I35" i="44" s="1"/>
  <c r="I37" i="44" s="1"/>
  <c r="F37" i="44" s="1"/>
  <c r="F36" i="44"/>
  <c r="N38" i="44"/>
  <c r="F39" i="44"/>
  <c r="I41" i="44"/>
  <c r="F41" i="44" s="1"/>
  <c r="F42" i="44"/>
  <c r="N42" i="44"/>
  <c r="E43" i="44"/>
  <c r="I43" i="44" s="1"/>
  <c r="F43" i="44" s="1"/>
  <c r="N43" i="44"/>
  <c r="E45" i="44"/>
  <c r="I44" i="44" s="1"/>
  <c r="F44" i="44" s="1"/>
  <c r="F45" i="44"/>
  <c r="N45" i="44"/>
  <c r="I47" i="44"/>
  <c r="F47" i="44" s="1"/>
  <c r="N47" i="44"/>
  <c r="F48" i="44"/>
  <c r="E49" i="44"/>
  <c r="I49" i="44" s="1"/>
  <c r="F49" i="44" s="1"/>
  <c r="N49" i="44"/>
  <c r="I50" i="44"/>
  <c r="F50" i="44" s="1"/>
  <c r="F51" i="44"/>
  <c r="N51" i="44"/>
  <c r="N52" i="44"/>
  <c r="I52" i="44"/>
  <c r="F52" i="44" s="1"/>
  <c r="F53" i="44"/>
  <c r="E55" i="44"/>
  <c r="I54" i="44" s="1"/>
  <c r="I58" i="44"/>
  <c r="I60" i="44"/>
  <c r="E64" i="44"/>
  <c r="I63" i="44" s="1"/>
  <c r="E66" i="44"/>
  <c r="I65" i="44" s="1"/>
  <c r="E70" i="44"/>
  <c r="I69" i="44" s="1"/>
  <c r="E72" i="44"/>
  <c r="I72" i="44" s="1"/>
  <c r="E73" i="44"/>
  <c r="I73" i="44" s="1"/>
  <c r="E74" i="44"/>
  <c r="I74" i="44" s="1"/>
  <c r="E77" i="44"/>
  <c r="I76" i="44" s="1"/>
  <c r="E80" i="44"/>
  <c r="I79" i="44" s="1"/>
  <c r="E82" i="44"/>
  <c r="I82" i="44" s="1"/>
  <c r="E83" i="44"/>
  <c r="I83" i="44" s="1"/>
  <c r="E86" i="44"/>
  <c r="I85" i="44" s="1"/>
  <c r="E88" i="44"/>
  <c r="I87" i="44" s="1"/>
  <c r="I89" i="44"/>
  <c r="E92" i="44"/>
  <c r="I91" i="44" s="1"/>
  <c r="F93" i="44"/>
  <c r="D22" i="45"/>
  <c r="I190" i="44"/>
  <c r="I191" i="44" s="1"/>
  <c r="I192" i="44" s="1"/>
  <c r="N187" i="44"/>
  <c r="F187" i="44"/>
  <c r="I186" i="44"/>
  <c r="F186" i="44" s="1"/>
  <c r="N185" i="44"/>
  <c r="N184" i="44"/>
  <c r="N181" i="44"/>
  <c r="F181" i="44"/>
  <c r="I180" i="44"/>
  <c r="F180" i="44" s="1"/>
  <c r="N179" i="44"/>
  <c r="N178" i="44"/>
  <c r="N175" i="44"/>
  <c r="F175" i="44"/>
  <c r="I174" i="44"/>
  <c r="F174" i="44" s="1"/>
  <c r="N173" i="44"/>
  <c r="N172" i="44"/>
  <c r="F172" i="44"/>
  <c r="I171" i="44"/>
  <c r="L175" i="44" s="1"/>
  <c r="L170" i="44"/>
  <c r="F170" i="44"/>
  <c r="N170" i="44"/>
  <c r="I169" i="44"/>
  <c r="F169" i="44" s="1"/>
  <c r="N169" i="44"/>
  <c r="N168" i="44"/>
  <c r="N167" i="44"/>
  <c r="F167" i="44"/>
  <c r="I166" i="44"/>
  <c r="L168" i="44" s="1"/>
  <c r="N166" i="44"/>
  <c r="N165" i="44"/>
  <c r="N164" i="44"/>
  <c r="N162" i="44"/>
  <c r="N161" i="44"/>
  <c r="I161" i="44"/>
  <c r="N160" i="44"/>
  <c r="N159" i="44"/>
  <c r="F159" i="44"/>
  <c r="I158" i="44"/>
  <c r="F158" i="44" s="1"/>
  <c r="N158" i="44"/>
  <c r="F157" i="44"/>
  <c r="N157" i="44"/>
  <c r="I156" i="44"/>
  <c r="F156" i="44" s="1"/>
  <c r="N155" i="44"/>
  <c r="N154" i="44"/>
  <c r="N152" i="44"/>
  <c r="F152" i="44"/>
  <c r="I151" i="44"/>
  <c r="F151" i="44" s="1"/>
  <c r="N150" i="44"/>
  <c r="N149" i="44"/>
  <c r="E149" i="44"/>
  <c r="I148" i="44" s="1"/>
  <c r="N148" i="44"/>
  <c r="N147" i="44"/>
  <c r="N146" i="44"/>
  <c r="N145" i="44"/>
  <c r="I145" i="44"/>
  <c r="N144" i="44"/>
  <c r="I144" i="44"/>
  <c r="N143" i="44"/>
  <c r="N142" i="44"/>
  <c r="I142" i="44"/>
  <c r="L143" i="44" s="1"/>
  <c r="N141" i="44"/>
  <c r="N140" i="44"/>
  <c r="N138" i="44"/>
  <c r="F138" i="44"/>
  <c r="I137" i="44"/>
  <c r="F137" i="44" s="1"/>
  <c r="N137" i="44"/>
  <c r="N136" i="44"/>
  <c r="N135" i="44"/>
  <c r="E135" i="44"/>
  <c r="I134" i="44" s="1"/>
  <c r="N134" i="44"/>
  <c r="N133" i="44"/>
  <c r="F133" i="44"/>
  <c r="E133" i="44"/>
  <c r="I132" i="44" s="1"/>
  <c r="F132" i="44" s="1"/>
  <c r="N132" i="44"/>
  <c r="N131" i="44"/>
  <c r="F131" i="44"/>
  <c r="E131" i="44"/>
  <c r="I130" i="44" s="1"/>
  <c r="L131" i="44" s="1"/>
  <c r="N129" i="44"/>
  <c r="E129" i="44"/>
  <c r="I128" i="44" s="1"/>
  <c r="N128" i="44"/>
  <c r="N127" i="44"/>
  <c r="N126" i="44"/>
  <c r="N125" i="44"/>
  <c r="I125" i="44"/>
  <c r="N124" i="44"/>
  <c r="N123" i="44"/>
  <c r="P121" i="44"/>
  <c r="O121" i="44"/>
  <c r="N121" i="44"/>
  <c r="E121" i="44"/>
  <c r="I120" i="44" s="1"/>
  <c r="N120" i="44"/>
  <c r="N119" i="44"/>
  <c r="F119" i="44"/>
  <c r="I118" i="44"/>
  <c r="F118" i="44" s="1"/>
  <c r="N118" i="44"/>
  <c r="N117" i="44"/>
  <c r="N116" i="44"/>
  <c r="E116" i="44"/>
  <c r="I115" i="44" s="1"/>
  <c r="N115" i="44"/>
  <c r="N114" i="44"/>
  <c r="F114" i="44"/>
  <c r="I113" i="44"/>
  <c r="F113" i="44" s="1"/>
  <c r="N113" i="44"/>
  <c r="N112" i="44"/>
  <c r="N111" i="44"/>
  <c r="N110" i="44"/>
  <c r="N109" i="44"/>
  <c r="N108" i="44"/>
  <c r="N107" i="44"/>
  <c r="E107" i="44"/>
  <c r="E111" i="44" s="1"/>
  <c r="I110" i="44" s="1"/>
  <c r="N106" i="44"/>
  <c r="Q105" i="44"/>
  <c r="P105" i="44"/>
  <c r="N105" i="44"/>
  <c r="E105" i="44"/>
  <c r="I104" i="44" s="1"/>
  <c r="N104" i="44"/>
  <c r="N103" i="44"/>
  <c r="U102" i="44"/>
  <c r="S102" i="44"/>
  <c r="Q102" i="44"/>
  <c r="P102" i="44"/>
  <c r="N102" i="44"/>
  <c r="F102" i="44"/>
  <c r="E102" i="44"/>
  <c r="I101" i="44" s="1"/>
  <c r="F101" i="44" s="1"/>
  <c r="N101" i="44"/>
  <c r="N100" i="44"/>
  <c r="N99" i="44"/>
  <c r="F99" i="44"/>
  <c r="I98" i="44"/>
  <c r="F98" i="44" s="1"/>
  <c r="N97" i="44"/>
  <c r="N96" i="44"/>
  <c r="N94" i="44"/>
  <c r="F94" i="44"/>
  <c r="N93" i="44"/>
  <c r="N92" i="44"/>
  <c r="N91" i="44"/>
  <c r="N90" i="44"/>
  <c r="N89" i="44"/>
  <c r="N88" i="44"/>
  <c r="N87" i="44"/>
  <c r="N86" i="44"/>
  <c r="N85" i="44"/>
  <c r="N84" i="44"/>
  <c r="N83" i="44"/>
  <c r="N82" i="44"/>
  <c r="N81" i="44"/>
  <c r="B81" i="44"/>
  <c r="P80" i="44"/>
  <c r="N80" i="44"/>
  <c r="N79" i="44"/>
  <c r="N78" i="44"/>
  <c r="N77" i="44"/>
  <c r="N76" i="44"/>
  <c r="N75" i="44"/>
  <c r="N74" i="44"/>
  <c r="N73" i="44"/>
  <c r="N72" i="44"/>
  <c r="N71" i="44"/>
  <c r="B71" i="44"/>
  <c r="N70" i="44"/>
  <c r="N69" i="44"/>
  <c r="N68" i="44"/>
  <c r="N67" i="44"/>
  <c r="N66" i="44"/>
  <c r="N65" i="44"/>
  <c r="N64" i="44"/>
  <c r="N63" i="44"/>
  <c r="N62" i="44"/>
  <c r="L62" i="44"/>
  <c r="N61" i="44"/>
  <c r="N60" i="44"/>
  <c r="N59" i="44"/>
  <c r="N58" i="44"/>
  <c r="N57" i="44"/>
  <c r="N56" i="44"/>
  <c r="N55" i="44"/>
  <c r="N54" i="44"/>
  <c r="N53" i="44"/>
  <c r="N50" i="44"/>
  <c r="B49" i="44"/>
  <c r="N48" i="44"/>
  <c r="B46" i="44"/>
  <c r="B43" i="44"/>
  <c r="N41" i="44"/>
  <c r="B40" i="44"/>
  <c r="N39" i="44"/>
  <c r="N37" i="44"/>
  <c r="B37" i="44"/>
  <c r="N36" i="44"/>
  <c r="N35" i="44"/>
  <c r="N34" i="44"/>
  <c r="B34" i="44"/>
  <c r="N33" i="44"/>
  <c r="N31" i="44"/>
  <c r="N30" i="44"/>
  <c r="N29" i="44"/>
  <c r="I29" i="44"/>
  <c r="N28" i="44"/>
  <c r="E28" i="44"/>
  <c r="I27" i="44" s="1"/>
  <c r="L27" i="44" s="1"/>
  <c r="N27" i="44"/>
  <c r="N26" i="44"/>
  <c r="N25" i="44"/>
  <c r="N24" i="44"/>
  <c r="I24" i="44"/>
  <c r="N23" i="44"/>
  <c r="N22" i="44"/>
  <c r="I22" i="44"/>
  <c r="N21" i="44"/>
  <c r="N20" i="44"/>
  <c r="E20" i="44"/>
  <c r="I19" i="44" s="1"/>
  <c r="L19" i="44" s="1"/>
  <c r="N19" i="44"/>
  <c r="N18" i="44"/>
  <c r="N17" i="44"/>
  <c r="N16" i="44"/>
  <c r="N13" i="44"/>
  <c r="I13" i="44"/>
  <c r="N12" i="44"/>
  <c r="I12" i="44"/>
  <c r="N11" i="44"/>
  <c r="I11" i="44"/>
  <c r="N10" i="44"/>
  <c r="I10" i="44"/>
  <c r="N9" i="44"/>
  <c r="I9" i="44"/>
  <c r="I8" i="44"/>
  <c r="F8" i="44" s="1"/>
  <c r="I7" i="44"/>
  <c r="F7" i="44" s="1"/>
  <c r="N7" i="44"/>
  <c r="B7" i="44"/>
  <c r="B8" i="44" s="1"/>
  <c r="B9" i="44" s="1"/>
  <c r="B10" i="44" s="1"/>
  <c r="B11" i="44" s="1"/>
  <c r="B12" i="44" s="1"/>
  <c r="B13" i="44" s="1"/>
  <c r="F3" i="44"/>
  <c r="N9" i="43"/>
  <c r="N10" i="43"/>
  <c r="N11" i="43"/>
  <c r="N12" i="43"/>
  <c r="N13" i="43"/>
  <c r="N16" i="43"/>
  <c r="N17" i="43"/>
  <c r="N18" i="43"/>
  <c r="N19" i="43"/>
  <c r="N20" i="43"/>
  <c r="N21" i="43"/>
  <c r="N22" i="43"/>
  <c r="N23" i="43"/>
  <c r="N24" i="43"/>
  <c r="N25" i="43"/>
  <c r="N26" i="43"/>
  <c r="N27" i="43"/>
  <c r="N28" i="43"/>
  <c r="N29" i="43"/>
  <c r="N30" i="43"/>
  <c r="N31" i="43"/>
  <c r="N33" i="43"/>
  <c r="N34" i="43"/>
  <c r="N35" i="43"/>
  <c r="N36" i="43"/>
  <c r="N37" i="43"/>
  <c r="N53" i="43"/>
  <c r="N54" i="43"/>
  <c r="N55" i="43"/>
  <c r="N56" i="43"/>
  <c r="N57" i="43"/>
  <c r="N58" i="43"/>
  <c r="N59" i="43"/>
  <c r="N60" i="43"/>
  <c r="N61" i="43"/>
  <c r="N62" i="43"/>
  <c r="N63" i="43"/>
  <c r="N64" i="43"/>
  <c r="N65" i="43"/>
  <c r="N66" i="43"/>
  <c r="N67" i="43"/>
  <c r="N68" i="43"/>
  <c r="N69" i="43"/>
  <c r="N70" i="43"/>
  <c r="N71" i="43"/>
  <c r="N72" i="43"/>
  <c r="N73" i="43"/>
  <c r="N74" i="43"/>
  <c r="N75" i="43"/>
  <c r="N76" i="43"/>
  <c r="N77" i="43"/>
  <c r="N78" i="43"/>
  <c r="N79" i="43"/>
  <c r="N80" i="43"/>
  <c r="N81" i="43"/>
  <c r="N82" i="43"/>
  <c r="N83" i="43"/>
  <c r="N84" i="43"/>
  <c r="N85" i="43"/>
  <c r="N86" i="43"/>
  <c r="N87" i="43"/>
  <c r="N88" i="43"/>
  <c r="N89" i="43"/>
  <c r="N90" i="43"/>
  <c r="N91" i="43"/>
  <c r="N92" i="43"/>
  <c r="N94" i="43"/>
  <c r="N96" i="43"/>
  <c r="N97" i="43"/>
  <c r="N99" i="43"/>
  <c r="N100" i="43"/>
  <c r="N102" i="43"/>
  <c r="N103" i="43"/>
  <c r="N104" i="43"/>
  <c r="N105" i="43"/>
  <c r="N106" i="43"/>
  <c r="N107" i="43"/>
  <c r="N108" i="43"/>
  <c r="N109" i="43"/>
  <c r="N110" i="43"/>
  <c r="N111" i="43"/>
  <c r="N112" i="43"/>
  <c r="N114" i="43"/>
  <c r="N115" i="43"/>
  <c r="N116" i="43"/>
  <c r="N117" i="43"/>
  <c r="N119" i="43"/>
  <c r="N120" i="43"/>
  <c r="N121" i="43"/>
  <c r="N123" i="43"/>
  <c r="N124" i="43"/>
  <c r="N125" i="43"/>
  <c r="N126" i="43"/>
  <c r="N127" i="43"/>
  <c r="N128" i="43"/>
  <c r="N129" i="43"/>
  <c r="N131" i="43"/>
  <c r="N133" i="43"/>
  <c r="N134" i="43"/>
  <c r="N135" i="43"/>
  <c r="N136" i="43"/>
  <c r="N138" i="43"/>
  <c r="N140" i="43"/>
  <c r="N141" i="43"/>
  <c r="N142" i="43"/>
  <c r="N143" i="43"/>
  <c r="N144" i="43"/>
  <c r="N145" i="43"/>
  <c r="N146" i="43"/>
  <c r="N147" i="43"/>
  <c r="N148" i="43"/>
  <c r="N149" i="43"/>
  <c r="N150" i="43"/>
  <c r="N152" i="43"/>
  <c r="N154" i="43"/>
  <c r="N155" i="43"/>
  <c r="N159" i="43"/>
  <c r="N160" i="43"/>
  <c r="N161" i="43"/>
  <c r="N162" i="43"/>
  <c r="N164" i="43"/>
  <c r="N165" i="43"/>
  <c r="N167" i="43"/>
  <c r="N168" i="43"/>
  <c r="N172" i="43"/>
  <c r="N173" i="43"/>
  <c r="N175" i="43"/>
  <c r="N178" i="43"/>
  <c r="N179" i="43"/>
  <c r="N181" i="43"/>
  <c r="N184" i="43"/>
  <c r="N185" i="43"/>
  <c r="N187" i="43"/>
  <c r="I190" i="43"/>
  <c r="I191" i="43" s="1"/>
  <c r="F187" i="43"/>
  <c r="F181" i="43"/>
  <c r="F175" i="43"/>
  <c r="F172" i="43"/>
  <c r="F170" i="43"/>
  <c r="H170" i="43" s="1"/>
  <c r="N170" i="43" s="1"/>
  <c r="F167" i="43"/>
  <c r="F159" i="43"/>
  <c r="F157" i="43"/>
  <c r="H157" i="43" s="1"/>
  <c r="N157" i="43" s="1"/>
  <c r="F152" i="43"/>
  <c r="F138" i="43"/>
  <c r="F133" i="43"/>
  <c r="F131" i="43"/>
  <c r="F119" i="43"/>
  <c r="F114" i="43"/>
  <c r="F102" i="43"/>
  <c r="F99" i="43"/>
  <c r="F94" i="43"/>
  <c r="F93" i="43"/>
  <c r="H93" i="43" s="1"/>
  <c r="N93" i="43" s="1"/>
  <c r="F53" i="43"/>
  <c r="F51" i="43"/>
  <c r="H51" i="43" s="1"/>
  <c r="N51" i="43" s="1"/>
  <c r="F48" i="43"/>
  <c r="H48" i="43" s="1"/>
  <c r="N48" i="43" s="1"/>
  <c r="F45" i="43"/>
  <c r="H45" i="43" s="1"/>
  <c r="N45" i="43" s="1"/>
  <c r="F42" i="43"/>
  <c r="H42" i="43" s="1"/>
  <c r="N42" i="43" s="1"/>
  <c r="F39" i="43"/>
  <c r="H39" i="43" s="1"/>
  <c r="N39" i="43" s="1"/>
  <c r="F36" i="43"/>
  <c r="F33" i="43"/>
  <c r="F3" i="43"/>
  <c r="I186" i="43"/>
  <c r="F186" i="43" s="1"/>
  <c r="H186" i="43" s="1"/>
  <c r="I180" i="43"/>
  <c r="F180" i="43" s="1"/>
  <c r="H180" i="43" s="1"/>
  <c r="H182" i="43" s="1"/>
  <c r="H183" i="43" s="1"/>
  <c r="I174" i="43"/>
  <c r="F174" i="43" s="1"/>
  <c r="H174" i="43" s="1"/>
  <c r="N174" i="43" s="1"/>
  <c r="I171" i="43"/>
  <c r="L175" i="43" s="1"/>
  <c r="L170" i="43"/>
  <c r="I169" i="43"/>
  <c r="F169" i="43" s="1"/>
  <c r="H169" i="43" s="1"/>
  <c r="N169" i="43" s="1"/>
  <c r="I166" i="43"/>
  <c r="F166" i="43" s="1"/>
  <c r="H166" i="43" s="1"/>
  <c r="N166" i="43" s="1"/>
  <c r="I161" i="43"/>
  <c r="I158" i="43"/>
  <c r="F158" i="43" s="1"/>
  <c r="H158" i="43" s="1"/>
  <c r="N158" i="43" s="1"/>
  <c r="I156" i="43"/>
  <c r="F156" i="43" s="1"/>
  <c r="H156" i="43" s="1"/>
  <c r="I151" i="43"/>
  <c r="F151" i="43" s="1"/>
  <c r="H151" i="43" s="1"/>
  <c r="N151" i="43" s="1"/>
  <c r="E149" i="43"/>
  <c r="I148" i="43" s="1"/>
  <c r="I145" i="43"/>
  <c r="I144" i="43"/>
  <c r="I142" i="43"/>
  <c r="L143" i="43" s="1"/>
  <c r="I137" i="43"/>
  <c r="F137" i="43" s="1"/>
  <c r="H137" i="43" s="1"/>
  <c r="N137" i="43" s="1"/>
  <c r="E135" i="43"/>
  <c r="I134" i="43" s="1"/>
  <c r="E133" i="43"/>
  <c r="I132" i="43" s="1"/>
  <c r="F132" i="43" s="1"/>
  <c r="H132" i="43" s="1"/>
  <c r="N132" i="43" s="1"/>
  <c r="E131" i="43"/>
  <c r="I130" i="43" s="1"/>
  <c r="F130" i="43" s="1"/>
  <c r="H130" i="43" s="1"/>
  <c r="N130" i="43" s="1"/>
  <c r="E129" i="43"/>
  <c r="I128" i="43" s="1"/>
  <c r="I125" i="43"/>
  <c r="P121" i="43"/>
  <c r="O121" i="43"/>
  <c r="E121" i="43"/>
  <c r="I120" i="43" s="1"/>
  <c r="I118" i="43"/>
  <c r="F118" i="43" s="1"/>
  <c r="H118" i="43" s="1"/>
  <c r="N118" i="43" s="1"/>
  <c r="E116" i="43"/>
  <c r="I115" i="43" s="1"/>
  <c r="I113" i="43"/>
  <c r="F113" i="43" s="1"/>
  <c r="H113" i="43" s="1"/>
  <c r="E107" i="43"/>
  <c r="E111" i="43" s="1"/>
  <c r="I110" i="43" s="1"/>
  <c r="Q105" i="43"/>
  <c r="P105" i="43"/>
  <c r="E105" i="43"/>
  <c r="I104" i="43" s="1"/>
  <c r="U102" i="43"/>
  <c r="S102" i="43"/>
  <c r="Q102" i="43"/>
  <c r="P102" i="43"/>
  <c r="E102" i="43"/>
  <c r="I101" i="43" s="1"/>
  <c r="F101" i="43" s="1"/>
  <c r="H101" i="43" s="1"/>
  <c r="N101" i="43" s="1"/>
  <c r="I98" i="43"/>
  <c r="F98" i="43" s="1"/>
  <c r="H98" i="43" s="1"/>
  <c r="N98" i="43" s="1"/>
  <c r="E92" i="43"/>
  <c r="I91" i="43" s="1"/>
  <c r="I89" i="43"/>
  <c r="E88" i="43"/>
  <c r="I87" i="43" s="1"/>
  <c r="E86" i="43"/>
  <c r="I85" i="43" s="1"/>
  <c r="E83" i="43"/>
  <c r="I83" i="43" s="1"/>
  <c r="E82" i="43"/>
  <c r="I82" i="43" s="1"/>
  <c r="B81" i="43"/>
  <c r="P80" i="43"/>
  <c r="E80" i="43"/>
  <c r="I79" i="43" s="1"/>
  <c r="E77" i="43"/>
  <c r="I76" i="43" s="1"/>
  <c r="E74" i="43"/>
  <c r="I74" i="43" s="1"/>
  <c r="E73" i="43"/>
  <c r="I73" i="43" s="1"/>
  <c r="E72" i="43"/>
  <c r="I72" i="43" s="1"/>
  <c r="B71" i="43"/>
  <c r="E70" i="43"/>
  <c r="I69" i="43" s="1"/>
  <c r="E66" i="43"/>
  <c r="I65" i="43" s="1"/>
  <c r="E64" i="43"/>
  <c r="I63" i="43" s="1"/>
  <c r="L62" i="43"/>
  <c r="I60" i="43"/>
  <c r="I58" i="43"/>
  <c r="E55" i="43"/>
  <c r="I54" i="43" s="1"/>
  <c r="I52" i="43"/>
  <c r="F52" i="43" s="1"/>
  <c r="H52" i="43" s="1"/>
  <c r="N52" i="43" s="1"/>
  <c r="I50" i="43"/>
  <c r="F50" i="43" s="1"/>
  <c r="H50" i="43" s="1"/>
  <c r="N50" i="43" s="1"/>
  <c r="E49" i="43"/>
  <c r="I49" i="43" s="1"/>
  <c r="F49" i="43" s="1"/>
  <c r="H49" i="43" s="1"/>
  <c r="N49" i="43" s="1"/>
  <c r="B49" i="43"/>
  <c r="I47" i="43"/>
  <c r="F47" i="43" s="1"/>
  <c r="H47" i="43" s="1"/>
  <c r="N47" i="43" s="1"/>
  <c r="B46" i="43"/>
  <c r="E45" i="43"/>
  <c r="I44" i="43" s="1"/>
  <c r="F44" i="43" s="1"/>
  <c r="H44" i="43" s="1"/>
  <c r="N44" i="43" s="1"/>
  <c r="E43" i="43"/>
  <c r="I43" i="43" s="1"/>
  <c r="F43" i="43" s="1"/>
  <c r="H43" i="43" s="1"/>
  <c r="N43" i="43" s="1"/>
  <c r="B43" i="43"/>
  <c r="I41" i="43"/>
  <c r="F41" i="43" s="1"/>
  <c r="H41" i="43" s="1"/>
  <c r="N41" i="43" s="1"/>
  <c r="B40" i="43"/>
  <c r="B37" i="43"/>
  <c r="E36" i="43"/>
  <c r="E37" i="43" s="1"/>
  <c r="B34" i="43"/>
  <c r="E33" i="43"/>
  <c r="I32" i="43" s="1"/>
  <c r="F32" i="43" s="1"/>
  <c r="H32" i="43" s="1"/>
  <c r="I29" i="43"/>
  <c r="E28" i="43"/>
  <c r="I27" i="43" s="1"/>
  <c r="L27" i="43" s="1"/>
  <c r="I24" i="43"/>
  <c r="I22" i="43"/>
  <c r="E20" i="43"/>
  <c r="I19" i="43" s="1"/>
  <c r="L19" i="43" s="1"/>
  <c r="I13" i="43"/>
  <c r="I12" i="43"/>
  <c r="I11" i="43"/>
  <c r="I10" i="43"/>
  <c r="I9" i="43"/>
  <c r="I8" i="43"/>
  <c r="F8" i="43" s="1"/>
  <c r="H8" i="43" s="1"/>
  <c r="N8" i="43" s="1"/>
  <c r="I7" i="43"/>
  <c r="F7" i="43" s="1"/>
  <c r="H7" i="43" s="1"/>
  <c r="N7" i="43" s="1"/>
  <c r="B7" i="43"/>
  <c r="B8" i="43" s="1"/>
  <c r="B9" i="43" s="1"/>
  <c r="B10" i="43" s="1"/>
  <c r="B11" i="43" s="1"/>
  <c r="B12" i="43" s="1"/>
  <c r="B13" i="43" s="1"/>
  <c r="N46" i="44"/>
  <c r="N44" i="44"/>
  <c r="N171" i="44"/>
  <c r="N8" i="44"/>
  <c r="N32" i="44"/>
  <c r="N180" i="44"/>
  <c r="N98" i="44"/>
  <c r="N186" i="44"/>
  <c r="N156" i="44"/>
  <c r="N174" i="44"/>
  <c r="N151" i="44"/>
  <c r="N40" i="44"/>
  <c r="N130" i="44"/>
  <c r="O66" i="45"/>
  <c r="O76" i="45" s="1"/>
  <c r="X76" i="45" s="1"/>
  <c r="A66" i="45"/>
  <c r="A68" i="45" s="1"/>
  <c r="V24" i="35"/>
  <c r="W24" i="35" s="1"/>
  <c r="M24" i="35"/>
  <c r="G24" i="35"/>
  <c r="N24" i="35"/>
  <c r="U23" i="35"/>
  <c r="W23" i="35" s="1"/>
  <c r="U22" i="35"/>
  <c r="W22" i="35" s="1"/>
  <c r="M22" i="35"/>
  <c r="M23" i="35"/>
  <c r="G23" i="35"/>
  <c r="N23" i="35"/>
  <c r="G22" i="35"/>
  <c r="N22" i="35"/>
  <c r="U21" i="35"/>
  <c r="W21" i="35" s="1"/>
  <c r="M21" i="35"/>
  <c r="G21" i="35"/>
  <c r="N21" i="35"/>
  <c r="U20" i="35"/>
  <c r="W20" i="35" s="1"/>
  <c r="M20" i="35"/>
  <c r="G20" i="35"/>
  <c r="N20" i="35"/>
  <c r="U19" i="35"/>
  <c r="W19" i="35" s="1"/>
  <c r="M18" i="35"/>
  <c r="M19" i="35"/>
  <c r="G19" i="35"/>
  <c r="N19" i="35"/>
  <c r="U18" i="35"/>
  <c r="W18" i="35" s="1"/>
  <c r="G18" i="35"/>
  <c r="N18" i="35"/>
  <c r="U17" i="35"/>
  <c r="W17" i="35" s="1"/>
  <c r="M17" i="35"/>
  <c r="G17" i="35"/>
  <c r="N17" i="35"/>
  <c r="U16" i="35"/>
  <c r="W16" i="35" s="1"/>
  <c r="U15" i="35"/>
  <c r="W15" i="35" s="1"/>
  <c r="M16" i="35"/>
  <c r="G16" i="35"/>
  <c r="N16" i="35"/>
  <c r="N15" i="35"/>
  <c r="M15" i="35"/>
  <c r="G15" i="35"/>
  <c r="Y14" i="35"/>
  <c r="U14" i="35"/>
  <c r="X14" i="35" s="1"/>
  <c r="N14" i="35"/>
  <c r="M14" i="35"/>
  <c r="G14" i="35"/>
  <c r="G13" i="35"/>
  <c r="U10" i="35"/>
  <c r="X10" i="35" s="1"/>
  <c r="U11" i="35"/>
  <c r="W11" i="35" s="1"/>
  <c r="U12" i="35"/>
  <c r="X12" i="35" s="1"/>
  <c r="U13" i="35"/>
  <c r="X13" i="35" s="1"/>
  <c r="W7" i="35"/>
  <c r="X6" i="35"/>
  <c r="N8" i="35"/>
  <c r="G8" i="35"/>
  <c r="G10" i="35"/>
  <c r="N10" i="35" s="1"/>
  <c r="G11" i="35"/>
  <c r="N11" i="35" s="1"/>
  <c r="G12" i="35"/>
  <c r="AA31" i="42"/>
  <c r="Z31" i="42"/>
  <c r="Y31" i="42"/>
  <c r="X31" i="42"/>
  <c r="P31" i="42"/>
  <c r="I31" i="42"/>
  <c r="V30" i="42"/>
  <c r="U30" i="42"/>
  <c r="T30" i="42"/>
  <c r="V29" i="42"/>
  <c r="R29" i="42"/>
  <c r="U29" i="42" s="1"/>
  <c r="Q29" i="42"/>
  <c r="S29" i="42" s="1"/>
  <c r="M29" i="42"/>
  <c r="L29" i="42"/>
  <c r="J29" i="42"/>
  <c r="V28" i="42"/>
  <c r="R28" i="42"/>
  <c r="U28" i="42" s="1"/>
  <c r="Q28" i="42"/>
  <c r="S28" i="42" s="1"/>
  <c r="M28" i="42"/>
  <c r="M35" i="42" s="1"/>
  <c r="L28" i="42"/>
  <c r="J28" i="42"/>
  <c r="V27" i="42"/>
  <c r="R27" i="42"/>
  <c r="U27" i="42" s="1"/>
  <c r="Q27" i="42"/>
  <c r="S27" i="42" s="1"/>
  <c r="M27" i="42"/>
  <c r="M33" i="42" s="1"/>
  <c r="L27" i="42"/>
  <c r="J27" i="42"/>
  <c r="V26" i="42"/>
  <c r="R26" i="42"/>
  <c r="U26" i="42" s="1"/>
  <c r="Q26" i="42"/>
  <c r="S26" i="42" s="1"/>
  <c r="M26" i="42"/>
  <c r="L26" i="42"/>
  <c r="V25" i="42"/>
  <c r="R25" i="42"/>
  <c r="U25" i="42" s="1"/>
  <c r="Q25" i="42"/>
  <c r="S25" i="42" s="1"/>
  <c r="M25" i="42"/>
  <c r="L25" i="42"/>
  <c r="J25" i="42"/>
  <c r="V24" i="42"/>
  <c r="R24" i="42"/>
  <c r="U24" i="42" s="1"/>
  <c r="Q24" i="42"/>
  <c r="S24" i="42" s="1"/>
  <c r="M24" i="42"/>
  <c r="L24" i="42"/>
  <c r="J24" i="42"/>
  <c r="V23" i="42"/>
  <c r="R23" i="42"/>
  <c r="Q23" i="42"/>
  <c r="S23" i="42" s="1"/>
  <c r="M23" i="42"/>
  <c r="L23" i="42"/>
  <c r="W22" i="42"/>
  <c r="W31" i="42" s="1"/>
  <c r="V22" i="42"/>
  <c r="Q22" i="42"/>
  <c r="S22" i="42" s="1"/>
  <c r="O22" i="42"/>
  <c r="O31" i="42" s="1"/>
  <c r="M22" i="42"/>
  <c r="M34" i="42" s="1"/>
  <c r="L22" i="42"/>
  <c r="V21" i="42"/>
  <c r="R21" i="42"/>
  <c r="U21" i="42" s="1"/>
  <c r="Q21" i="42"/>
  <c r="S21" i="42" s="1"/>
  <c r="M21" i="42"/>
  <c r="L21" i="42"/>
  <c r="V13" i="42"/>
  <c r="R13" i="42"/>
  <c r="U13" i="42" s="1"/>
  <c r="Q13" i="42"/>
  <c r="S13" i="42" s="1"/>
  <c r="P13" i="42"/>
  <c r="M13" i="42"/>
  <c r="L13" i="42"/>
  <c r="J13" i="42"/>
  <c r="V12" i="42"/>
  <c r="R12" i="42"/>
  <c r="U12" i="42" s="1"/>
  <c r="Q12" i="42"/>
  <c r="S12" i="42" s="1"/>
  <c r="P12" i="42"/>
  <c r="M12" i="42"/>
  <c r="L12" i="42"/>
  <c r="V11" i="42"/>
  <c r="R11" i="42"/>
  <c r="Q11" i="42"/>
  <c r="O11" i="42"/>
  <c r="O14" i="42" s="1"/>
  <c r="M11" i="42"/>
  <c r="L11" i="42"/>
  <c r="V10" i="42"/>
  <c r="R10" i="42"/>
  <c r="U10" i="42" s="1"/>
  <c r="Q10" i="42"/>
  <c r="S10" i="42" s="1"/>
  <c r="M10" i="42"/>
  <c r="L10" i="42"/>
  <c r="I10" i="42"/>
  <c r="I14" i="42" s="1"/>
  <c r="V9" i="42"/>
  <c r="R9" i="42"/>
  <c r="U9" i="42" s="1"/>
  <c r="Q9" i="42"/>
  <c r="S9" i="42" s="1"/>
  <c r="P9" i="42"/>
  <c r="M9" i="42"/>
  <c r="L9" i="42"/>
  <c r="V8" i="42"/>
  <c r="Q8" i="42"/>
  <c r="S8" i="42" s="1"/>
  <c r="T8" i="42" s="1"/>
  <c r="P8" i="42"/>
  <c r="M8" i="42"/>
  <c r="M19" i="42" s="1"/>
  <c r="L8" i="42"/>
  <c r="J8" i="42"/>
  <c r="V7" i="42"/>
  <c r="R7" i="42"/>
  <c r="U7" i="42" s="1"/>
  <c r="Q7" i="42"/>
  <c r="M7" i="42"/>
  <c r="L7" i="42"/>
  <c r="V6" i="42"/>
  <c r="S6" i="42"/>
  <c r="R6" i="42"/>
  <c r="U6" i="42" s="1"/>
  <c r="Q6" i="42"/>
  <c r="M6" i="42"/>
  <c r="L6" i="42"/>
  <c r="V5" i="42"/>
  <c r="U5" i="42"/>
  <c r="S5" i="42"/>
  <c r="R5" i="42"/>
  <c r="Q5" i="42"/>
  <c r="T5" i="42" s="1"/>
  <c r="M5" i="42"/>
  <c r="L5" i="42"/>
  <c r="J5" i="42"/>
  <c r="E177" i="41"/>
  <c r="F176" i="41" s="1"/>
  <c r="I180" i="41" s="1"/>
  <c r="E175" i="41"/>
  <c r="F174" i="41" s="1"/>
  <c r="E172" i="41"/>
  <c r="F171" i="41" s="1"/>
  <c r="I173" i="41" s="1"/>
  <c r="F161" i="41"/>
  <c r="F105" i="41"/>
  <c r="E153" i="41"/>
  <c r="F152" i="41" s="1"/>
  <c r="E149" i="41"/>
  <c r="F149" i="41" s="1"/>
  <c r="E148" i="41"/>
  <c r="F147" i="41" s="1"/>
  <c r="E139" i="41"/>
  <c r="F138" i="41" s="1"/>
  <c r="E132" i="41"/>
  <c r="F131" i="41" s="1"/>
  <c r="M132" i="41"/>
  <c r="E130" i="41"/>
  <c r="F129" i="41" s="1"/>
  <c r="E125" i="41"/>
  <c r="F124" i="41" s="1"/>
  <c r="E120" i="41"/>
  <c r="F119" i="41" s="1"/>
  <c r="E118" i="41"/>
  <c r="F117" i="41" s="1"/>
  <c r="I118" i="41" s="1"/>
  <c r="E116" i="41"/>
  <c r="F115" i="41" s="1"/>
  <c r="M116" i="41"/>
  <c r="E113" i="41"/>
  <c r="F112" i="41" s="1"/>
  <c r="M113" i="41"/>
  <c r="E110" i="41"/>
  <c r="F109" i="41" s="1"/>
  <c r="E100" i="41"/>
  <c r="F99" i="41" s="1"/>
  <c r="E98" i="41"/>
  <c r="F97" i="41" s="1"/>
  <c r="E96" i="41"/>
  <c r="F95" i="41" s="1"/>
  <c r="E93" i="41"/>
  <c r="F93" i="41" s="1"/>
  <c r="E92" i="41"/>
  <c r="F92" i="41" s="1"/>
  <c r="B91" i="41"/>
  <c r="E90" i="41"/>
  <c r="F89" i="41" s="1"/>
  <c r="E84" i="41"/>
  <c r="F83" i="41" s="1"/>
  <c r="E18" i="41"/>
  <c r="F17" i="41" s="1"/>
  <c r="I17" i="41" s="1"/>
  <c r="F179" i="41"/>
  <c r="I175" i="41"/>
  <c r="F167" i="41"/>
  <c r="F164" i="41"/>
  <c r="F159" i="41"/>
  <c r="F158" i="41"/>
  <c r="F156" i="41"/>
  <c r="I157" i="41" s="1"/>
  <c r="B149" i="41"/>
  <c r="B150" i="41" s="1"/>
  <c r="M148" i="41"/>
  <c r="F144" i="41"/>
  <c r="F142" i="41"/>
  <c r="F140" i="41"/>
  <c r="I141" i="41" s="1"/>
  <c r="F135" i="41"/>
  <c r="F126" i="41"/>
  <c r="N117" i="41"/>
  <c r="N114" i="41"/>
  <c r="F103" i="41"/>
  <c r="F101" i="41"/>
  <c r="E87" i="41"/>
  <c r="F87" i="41"/>
  <c r="E86" i="41"/>
  <c r="F86" i="41" s="1"/>
  <c r="B85" i="41"/>
  <c r="F80" i="41"/>
  <c r="E78" i="41"/>
  <c r="F78" i="41" s="1"/>
  <c r="E77" i="41"/>
  <c r="F77" i="41" s="1"/>
  <c r="E76" i="41"/>
  <c r="F76" i="41" s="1"/>
  <c r="B75" i="41"/>
  <c r="E74" i="41"/>
  <c r="F73" i="41" s="1"/>
  <c r="E70" i="41"/>
  <c r="F69" i="41" s="1"/>
  <c r="E68" i="41"/>
  <c r="F67" i="41" s="1"/>
  <c r="I66" i="41"/>
  <c r="F64" i="41"/>
  <c r="F62" i="41"/>
  <c r="F58" i="41"/>
  <c r="F56" i="41"/>
  <c r="F54" i="41"/>
  <c r="F53" i="41"/>
  <c r="B53" i="41"/>
  <c r="F51" i="41"/>
  <c r="F50" i="41"/>
  <c r="B50" i="41"/>
  <c r="F48" i="41"/>
  <c r="F47" i="41"/>
  <c r="B47" i="41"/>
  <c r="F45" i="41"/>
  <c r="B44" i="41"/>
  <c r="E44" i="41"/>
  <c r="F44" i="41" s="1"/>
  <c r="F42" i="41"/>
  <c r="B41" i="41"/>
  <c r="F41" i="41"/>
  <c r="F39" i="41"/>
  <c r="B38" i="41"/>
  <c r="E38" i="41"/>
  <c r="F38" i="41" s="1"/>
  <c r="F36" i="41"/>
  <c r="B35" i="41"/>
  <c r="F33" i="41"/>
  <c r="F35" i="41" s="1"/>
  <c r="B32" i="41"/>
  <c r="E32" i="41"/>
  <c r="F32" i="41" s="1"/>
  <c r="F30" i="41"/>
  <c r="F27" i="41"/>
  <c r="F25" i="41"/>
  <c r="I25" i="41" s="1"/>
  <c r="F22" i="41"/>
  <c r="F20" i="41"/>
  <c r="F13" i="41"/>
  <c r="F12" i="41"/>
  <c r="F11" i="41"/>
  <c r="F10" i="41"/>
  <c r="F9" i="41"/>
  <c r="F8" i="41"/>
  <c r="F7" i="41"/>
  <c r="B7" i="41"/>
  <c r="B8" i="41" s="1"/>
  <c r="B9" i="41" s="1"/>
  <c r="B10" i="41" s="1"/>
  <c r="B11" i="41" s="1"/>
  <c r="B12" i="41" s="1"/>
  <c r="B13" i="41" s="1"/>
  <c r="Q13" i="35"/>
  <c r="K13" i="35"/>
  <c r="Z13" i="35"/>
  <c r="Y13" i="35"/>
  <c r="M13" i="35"/>
  <c r="N13" i="35"/>
  <c r="Z12" i="35"/>
  <c r="Y12" i="35"/>
  <c r="Q12" i="35"/>
  <c r="N12" i="35"/>
  <c r="M12" i="35"/>
  <c r="Y11" i="35"/>
  <c r="Z11" i="35"/>
  <c r="M11" i="35"/>
  <c r="Z10" i="35"/>
  <c r="Y10" i="35"/>
  <c r="J10" i="35"/>
  <c r="K10" i="35" s="1"/>
  <c r="M10" i="35"/>
  <c r="Z9" i="35"/>
  <c r="Y9" i="35"/>
  <c r="X9" i="35"/>
  <c r="Q9" i="35"/>
  <c r="N9" i="35"/>
  <c r="M9" i="35"/>
  <c r="Q8" i="35"/>
  <c r="Z8" i="35"/>
  <c r="M8" i="35"/>
  <c r="K8" i="35"/>
  <c r="K25" i="35" s="1"/>
  <c r="Z7" i="35"/>
  <c r="Y7" i="35"/>
  <c r="X7" i="35"/>
  <c r="N7" i="35"/>
  <c r="Z6" i="35"/>
  <c r="W6" i="35"/>
  <c r="Y6" i="35"/>
  <c r="N6" i="35"/>
  <c r="Z5" i="35"/>
  <c r="Y5" i="35"/>
  <c r="W5" i="35"/>
  <c r="X5" i="35"/>
  <c r="X25" i="35" s="1"/>
  <c r="N5" i="35"/>
  <c r="F50" i="32"/>
  <c r="F30" i="32"/>
  <c r="F51" i="31"/>
  <c r="F30" i="31"/>
  <c r="F50" i="29"/>
  <c r="F29" i="29"/>
  <c r="F49" i="28"/>
  <c r="F29" i="28"/>
  <c r="M5" i="35"/>
  <c r="E41" i="34"/>
  <c r="C41" i="34"/>
  <c r="E39" i="34"/>
  <c r="C39" i="34"/>
  <c r="E37" i="34"/>
  <c r="C37" i="34"/>
  <c r="E25" i="34"/>
  <c r="C25" i="34"/>
  <c r="E23" i="34"/>
  <c r="C23" i="34"/>
  <c r="E21" i="34"/>
  <c r="C21" i="34"/>
  <c r="E19" i="34"/>
  <c r="C19" i="34"/>
  <c r="E17" i="34"/>
  <c r="C17" i="34"/>
  <c r="E15" i="34"/>
  <c r="C15" i="34"/>
  <c r="E13" i="34"/>
  <c r="C13" i="34"/>
  <c r="E41" i="33"/>
  <c r="C41" i="33"/>
  <c r="E39" i="33"/>
  <c r="C39" i="33"/>
  <c r="E37" i="33"/>
  <c r="C37" i="33"/>
  <c r="E25" i="33"/>
  <c r="C25" i="33"/>
  <c r="E23" i="33"/>
  <c r="C23" i="33"/>
  <c r="E21" i="33"/>
  <c r="C21" i="33"/>
  <c r="E19" i="33"/>
  <c r="C19" i="33"/>
  <c r="E17" i="33"/>
  <c r="C17" i="33"/>
  <c r="E15" i="33"/>
  <c r="C15" i="33"/>
  <c r="F15" i="33" s="1"/>
  <c r="E13" i="33"/>
  <c r="C13" i="33"/>
  <c r="E45" i="32"/>
  <c r="C45" i="32"/>
  <c r="E43" i="32"/>
  <c r="C43" i="32"/>
  <c r="E41" i="32"/>
  <c r="C41" i="32"/>
  <c r="E25" i="32"/>
  <c r="C25" i="32"/>
  <c r="E23" i="32"/>
  <c r="C23" i="32"/>
  <c r="E21" i="32"/>
  <c r="C21" i="32"/>
  <c r="E19" i="32"/>
  <c r="C19" i="32"/>
  <c r="E17" i="32"/>
  <c r="C17" i="32"/>
  <c r="E15" i="32"/>
  <c r="C15" i="32"/>
  <c r="E13" i="32"/>
  <c r="C13" i="32"/>
  <c r="E46" i="31"/>
  <c r="C46" i="31"/>
  <c r="E44" i="31"/>
  <c r="C44" i="31"/>
  <c r="E42" i="31"/>
  <c r="C42" i="31"/>
  <c r="E25" i="31"/>
  <c r="C25" i="31"/>
  <c r="E23" i="31"/>
  <c r="C23" i="31"/>
  <c r="E21" i="31"/>
  <c r="C21" i="31"/>
  <c r="E19" i="31"/>
  <c r="C19" i="31"/>
  <c r="E17" i="31"/>
  <c r="C17" i="31"/>
  <c r="E15" i="31"/>
  <c r="C15" i="31"/>
  <c r="E13" i="31"/>
  <c r="C13" i="31"/>
  <c r="H55" i="30"/>
  <c r="I55" i="30" s="1"/>
  <c r="I53" i="30"/>
  <c r="H53" i="30"/>
  <c r="H51" i="30"/>
  <c r="I51" i="30" s="1"/>
  <c r="H49" i="30"/>
  <c r="I49" i="30" s="1"/>
  <c r="J49" i="30" s="1"/>
  <c r="G41" i="30"/>
  <c r="F41" i="30"/>
  <c r="E41" i="30"/>
  <c r="G39" i="30"/>
  <c r="F39" i="30"/>
  <c r="E39" i="30"/>
  <c r="G37" i="30"/>
  <c r="F37" i="30"/>
  <c r="E37" i="30"/>
  <c r="G25" i="30"/>
  <c r="F25" i="30"/>
  <c r="E25" i="30"/>
  <c r="G23" i="30"/>
  <c r="F23" i="30"/>
  <c r="E23" i="30"/>
  <c r="G21" i="30"/>
  <c r="F21" i="30"/>
  <c r="E21" i="30"/>
  <c r="G19" i="30"/>
  <c r="F19" i="30"/>
  <c r="E19" i="30"/>
  <c r="G17" i="30"/>
  <c r="F17" i="30"/>
  <c r="E17" i="30"/>
  <c r="G15" i="30"/>
  <c r="F15" i="30"/>
  <c r="E15" i="30"/>
  <c r="G13" i="30"/>
  <c r="F13" i="30"/>
  <c r="E13" i="30"/>
  <c r="A4" i="30"/>
  <c r="E45" i="29"/>
  <c r="C45" i="29"/>
  <c r="E43" i="29"/>
  <c r="C43" i="29"/>
  <c r="E41" i="29"/>
  <c r="C41" i="29"/>
  <c r="E24" i="29"/>
  <c r="C24" i="29"/>
  <c r="E22" i="29"/>
  <c r="C22" i="29"/>
  <c r="E20" i="29"/>
  <c r="C20" i="29"/>
  <c r="E18" i="29"/>
  <c r="C18" i="29"/>
  <c r="E16" i="29"/>
  <c r="C16" i="29"/>
  <c r="E14" i="29"/>
  <c r="C14" i="29"/>
  <c r="E12" i="29"/>
  <c r="C12" i="29"/>
  <c r="E44" i="28"/>
  <c r="C44" i="28"/>
  <c r="E42" i="28"/>
  <c r="C42" i="28"/>
  <c r="E40" i="28"/>
  <c r="C40" i="28"/>
  <c r="E24" i="28"/>
  <c r="C24" i="28"/>
  <c r="E22" i="28"/>
  <c r="C22" i="28"/>
  <c r="E20" i="28"/>
  <c r="C20" i="28"/>
  <c r="E18" i="28"/>
  <c r="C18" i="28"/>
  <c r="E16" i="28"/>
  <c r="C16" i="28"/>
  <c r="E14" i="28"/>
  <c r="C14" i="28"/>
  <c r="E12" i="28"/>
  <c r="C12" i="28"/>
  <c r="W9" i="35"/>
  <c r="X11" i="35"/>
  <c r="S11" i="42"/>
  <c r="N32" i="43"/>
  <c r="H153" i="43"/>
  <c r="E46" i="43"/>
  <c r="I46" i="43" s="1"/>
  <c r="F46" i="43" s="1"/>
  <c r="H46" i="43" s="1"/>
  <c r="N46" i="43" s="1"/>
  <c r="E109" i="44"/>
  <c r="I108" i="44" s="1"/>
  <c r="F44" i="28" l="1"/>
  <c r="O68" i="45"/>
  <c r="T68" i="45" s="1"/>
  <c r="E34" i="44"/>
  <c r="I34" i="44" s="1"/>
  <c r="F34" i="44" s="1"/>
  <c r="F22" i="29"/>
  <c r="F15" i="31"/>
  <c r="F23" i="33"/>
  <c r="F19" i="34"/>
  <c r="F130" i="44"/>
  <c r="F13" i="34"/>
  <c r="W13" i="35"/>
  <c r="I13" i="30"/>
  <c r="F42" i="31"/>
  <c r="T24" i="42"/>
  <c r="F17" i="34"/>
  <c r="H15" i="30"/>
  <c r="I106" i="44"/>
  <c r="L107" i="44" s="1"/>
  <c r="F14" i="29"/>
  <c r="I21" i="30"/>
  <c r="F35" i="44"/>
  <c r="F23" i="31"/>
  <c r="F15" i="32"/>
  <c r="F25" i="31"/>
  <c r="I14" i="44"/>
  <c r="I15" i="44" s="1"/>
  <c r="F20" i="29"/>
  <c r="H37" i="30"/>
  <c r="E37" i="44"/>
  <c r="I33" i="41"/>
  <c r="I106" i="43"/>
  <c r="L107" i="43" s="1"/>
  <c r="O78" i="45"/>
  <c r="T21" i="42"/>
  <c r="N180" i="43"/>
  <c r="I41" i="30"/>
  <c r="I35" i="43"/>
  <c r="I37" i="43" s="1"/>
  <c r="F37" i="43" s="1"/>
  <c r="I192" i="43"/>
  <c r="L35" i="44"/>
  <c r="H21" i="30"/>
  <c r="L21" i="30" s="1"/>
  <c r="F37" i="34"/>
  <c r="W8" i="35"/>
  <c r="X8" i="35" s="1"/>
  <c r="F166" i="44"/>
  <c r="T28" i="42"/>
  <c r="T10" i="42"/>
  <c r="F12" i="29"/>
  <c r="I19" i="30"/>
  <c r="F17" i="31"/>
  <c r="F44" i="31"/>
  <c r="F17" i="32"/>
  <c r="F13" i="33"/>
  <c r="F21" i="33"/>
  <c r="F39" i="33"/>
  <c r="F25" i="34"/>
  <c r="Q25" i="35"/>
  <c r="F171" i="44"/>
  <c r="E46" i="44"/>
  <c r="I46" i="44" s="1"/>
  <c r="F46" i="44" s="1"/>
  <c r="F20" i="28"/>
  <c r="F21" i="32"/>
  <c r="F43" i="32"/>
  <c r="F17" i="33"/>
  <c r="F25" i="33"/>
  <c r="F21" i="34"/>
  <c r="F39" i="34"/>
  <c r="T23" i="42"/>
  <c r="V31" i="42"/>
  <c r="K49" i="30"/>
  <c r="J10" i="42"/>
  <c r="J14" i="42" s="1"/>
  <c r="H19" i="30"/>
  <c r="H23" i="30"/>
  <c r="J53" i="30"/>
  <c r="F19" i="33"/>
  <c r="Q14" i="42"/>
  <c r="T11" i="42"/>
  <c r="H14" i="43"/>
  <c r="H15" i="43" s="1"/>
  <c r="R14" i="42"/>
  <c r="X69" i="45"/>
  <c r="E122" i="41"/>
  <c r="F121" i="41" s="1"/>
  <c r="I14" i="43"/>
  <c r="I15" i="43" s="1"/>
  <c r="L131" i="43"/>
  <c r="T12" i="42"/>
  <c r="S7" i="42"/>
  <c r="M31" i="42"/>
  <c r="J31" i="42"/>
  <c r="O69" i="45"/>
  <c r="T69" i="45" s="1"/>
  <c r="R68" i="45"/>
  <c r="U23" i="42"/>
  <c r="U31" i="42" s="1"/>
  <c r="F14" i="28"/>
  <c r="F24" i="29"/>
  <c r="I25" i="30"/>
  <c r="F13" i="31"/>
  <c r="F13" i="32"/>
  <c r="V14" i="42"/>
  <c r="F171" i="43"/>
  <c r="H171" i="43" s="1"/>
  <c r="T7" i="42"/>
  <c r="Q68" i="45"/>
  <c r="X68" i="45" s="1"/>
  <c r="T9" i="42"/>
  <c r="K53" i="30"/>
  <c r="F12" i="28"/>
  <c r="F16" i="28"/>
  <c r="F23" i="34"/>
  <c r="F41" i="34"/>
  <c r="N26" i="35"/>
  <c r="E39" i="43" s="1"/>
  <c r="I38" i="43" s="1"/>
  <c r="F38" i="43" s="1"/>
  <c r="H38" i="43" s="1"/>
  <c r="Z25" i="35"/>
  <c r="N113" i="43"/>
  <c r="H122" i="43"/>
  <c r="W12" i="35"/>
  <c r="T13" i="42"/>
  <c r="I39" i="30"/>
  <c r="T27" i="42"/>
  <c r="E150" i="41"/>
  <c r="F150" i="41" s="1"/>
  <c r="I23" i="30"/>
  <c r="F45" i="29"/>
  <c r="S68" i="45"/>
  <c r="R31" i="42"/>
  <c r="Q31" i="42"/>
  <c r="T26" i="42"/>
  <c r="T22" i="42"/>
  <c r="F42" i="28"/>
  <c r="F16" i="29"/>
  <c r="I37" i="30"/>
  <c r="K37" i="30" s="1"/>
  <c r="F21" i="31"/>
  <c r="F23" i="32"/>
  <c r="F41" i="32"/>
  <c r="F45" i="32"/>
  <c r="F41" i="33"/>
  <c r="F15" i="34"/>
  <c r="Y25" i="35"/>
  <c r="M32" i="42"/>
  <c r="T29" i="42"/>
  <c r="T25" i="42"/>
  <c r="W14" i="35"/>
  <c r="I15" i="30"/>
  <c r="L15" i="30" s="1"/>
  <c r="N15" i="30" s="1"/>
  <c r="H13" i="30"/>
  <c r="H17" i="30"/>
  <c r="H39" i="30"/>
  <c r="T6" i="42"/>
  <c r="P14" i="42"/>
  <c r="J51" i="30"/>
  <c r="K51" i="30"/>
  <c r="N186" i="43"/>
  <c r="H188" i="43"/>
  <c r="H189" i="43" s="1"/>
  <c r="J55" i="30"/>
  <c r="K55" i="30"/>
  <c r="N156" i="43"/>
  <c r="H163" i="43"/>
  <c r="S31" i="42"/>
  <c r="H25" i="30"/>
  <c r="F18" i="28"/>
  <c r="F22" i="28"/>
  <c r="F40" i="28"/>
  <c r="F43" i="29"/>
  <c r="I17" i="30"/>
  <c r="F46" i="31"/>
  <c r="F25" i="32"/>
  <c r="U11" i="42"/>
  <c r="U14" i="42" s="1"/>
  <c r="S14" i="42"/>
  <c r="F24" i="28"/>
  <c r="F18" i="29"/>
  <c r="F41" i="29"/>
  <c r="H41" i="30"/>
  <c r="F19" i="31"/>
  <c r="F19" i="32"/>
  <c r="F37" i="33"/>
  <c r="M14" i="42"/>
  <c r="W10" i="35"/>
  <c r="H139" i="43"/>
  <c r="M15" i="42"/>
  <c r="M17" i="42"/>
  <c r="E34" i="43"/>
  <c r="I34" i="43" s="1"/>
  <c r="F34" i="43" s="1"/>
  <c r="L168" i="43"/>
  <c r="E109" i="43"/>
  <c r="I108" i="43" s="1"/>
  <c r="E68" i="45"/>
  <c r="D68" i="45"/>
  <c r="F68" i="45"/>
  <c r="J69" i="45"/>
  <c r="A69" i="45"/>
  <c r="A70" i="45" s="1"/>
  <c r="A71" i="45" s="1"/>
  <c r="C68" i="45"/>
  <c r="J68" i="45" s="1"/>
  <c r="Q69" i="45"/>
  <c r="A78" i="45"/>
  <c r="A76" i="45"/>
  <c r="J76" i="45" s="1"/>
  <c r="B5" i="45"/>
  <c r="J23" i="30" l="1"/>
  <c r="K21" i="30"/>
  <c r="L13" i="30"/>
  <c r="N13" i="30" s="1"/>
  <c r="J21" i="30"/>
  <c r="J57" i="30"/>
  <c r="L39" i="30"/>
  <c r="K25" i="30"/>
  <c r="K19" i="30"/>
  <c r="K23" i="30"/>
  <c r="L37" i="30"/>
  <c r="F28" i="33"/>
  <c r="F47" i="28"/>
  <c r="F51" i="28" s="1"/>
  <c r="H56" i="28" s="1"/>
  <c r="J41" i="30"/>
  <c r="L41" i="30"/>
  <c r="F49" i="31"/>
  <c r="F53" i="31" s="1"/>
  <c r="T14" i="42"/>
  <c r="F48" i="32"/>
  <c r="F52" i="32" s="1"/>
  <c r="J25" i="30"/>
  <c r="L25" i="30"/>
  <c r="F44" i="34"/>
  <c r="I44" i="30"/>
  <c r="H72" i="30" s="1"/>
  <c r="Q37" i="42"/>
  <c r="W25" i="35"/>
  <c r="L19" i="30"/>
  <c r="F35" i="43"/>
  <c r="L35" i="43"/>
  <c r="K15" i="30"/>
  <c r="K41" i="30"/>
  <c r="J37" i="30"/>
  <c r="L23" i="30"/>
  <c r="B5" i="38"/>
  <c r="V69" i="45"/>
  <c r="U69" i="45"/>
  <c r="E39" i="44"/>
  <c r="E40" i="44" s="1"/>
  <c r="I40" i="44" s="1"/>
  <c r="F40" i="44" s="1"/>
  <c r="F44" i="33"/>
  <c r="T31" i="42"/>
  <c r="E40" i="43"/>
  <c r="I40" i="43" s="1"/>
  <c r="F40" i="43" s="1"/>
  <c r="H40" i="43" s="1"/>
  <c r="N40" i="43" s="1"/>
  <c r="F27" i="29"/>
  <c r="F31" i="29" s="1"/>
  <c r="G57" i="29" s="1"/>
  <c r="S69" i="45"/>
  <c r="F28" i="34"/>
  <c r="F27" i="28"/>
  <c r="F31" i="28" s="1"/>
  <c r="E56" i="28" s="1"/>
  <c r="J39" i="30"/>
  <c r="J19" i="30"/>
  <c r="H95" i="43"/>
  <c r="N38" i="43"/>
  <c r="F28" i="31"/>
  <c r="F32" i="31" s="1"/>
  <c r="N171" i="43"/>
  <c r="H176" i="43"/>
  <c r="F48" i="29"/>
  <c r="F52" i="29" s="1"/>
  <c r="J13" i="30"/>
  <c r="O70" i="45"/>
  <c r="R69" i="45"/>
  <c r="F28" i="32"/>
  <c r="F32" i="32" s="1"/>
  <c r="K39" i="30"/>
  <c r="J15" i="30"/>
  <c r="K13" i="30"/>
  <c r="M13" i="30" s="1"/>
  <c r="K17" i="30"/>
  <c r="I28" i="30"/>
  <c r="H64" i="30" s="1"/>
  <c r="L17" i="30"/>
  <c r="H44" i="30"/>
  <c r="H70" i="30" s="1"/>
  <c r="J17" i="30"/>
  <c r="K57" i="30"/>
  <c r="H28" i="30"/>
  <c r="H62" i="30" s="1"/>
  <c r="G55" i="29"/>
  <c r="C71" i="45"/>
  <c r="J71" i="45" s="1"/>
  <c r="J72" i="45"/>
  <c r="E71" i="45"/>
  <c r="F71" i="45"/>
  <c r="D71" i="45"/>
  <c r="H69" i="45"/>
  <c r="G69" i="45"/>
  <c r="C69" i="45"/>
  <c r="D69" i="45"/>
  <c r="F69" i="45"/>
  <c r="E69" i="45"/>
  <c r="A72" i="45"/>
  <c r="D70" i="45"/>
  <c r="E70" i="45"/>
  <c r="F70" i="45"/>
  <c r="C70" i="45"/>
  <c r="J70" i="45" s="1"/>
  <c r="M15" i="30" l="1"/>
  <c r="G54" i="28"/>
  <c r="H54" i="28" s="1"/>
  <c r="E55" i="29"/>
  <c r="I38" i="44"/>
  <c r="F38" i="44" s="1"/>
  <c r="L28" i="30"/>
  <c r="H177" i="43"/>
  <c r="H190" i="43" s="1"/>
  <c r="H192" i="43" s="1"/>
  <c r="H191" i="43" s="1"/>
  <c r="J28" i="30"/>
  <c r="J44" i="30" s="1"/>
  <c r="H35" i="29"/>
  <c r="K28" i="30"/>
  <c r="K44" i="30" s="1"/>
  <c r="H74" i="30"/>
  <c r="E57" i="29"/>
  <c r="E54" i="28" s="1"/>
  <c r="E61" i="29"/>
  <c r="Q70" i="45"/>
  <c r="X70" i="45" s="1"/>
  <c r="S70" i="45"/>
  <c r="T70" i="45"/>
  <c r="R70" i="45"/>
  <c r="O71" i="45"/>
  <c r="H66" i="30"/>
  <c r="E59" i="29"/>
  <c r="E55" i="28" s="1"/>
  <c r="G59" i="29"/>
  <c r="G61" i="29" s="1"/>
  <c r="E57" i="28"/>
  <c r="L44" i="30"/>
  <c r="M17" i="30"/>
  <c r="N19" i="30" s="1"/>
  <c r="N21" i="30" s="1"/>
  <c r="N23" i="30" s="1"/>
  <c r="N25" i="30" s="1"/>
  <c r="N27" i="30" s="1"/>
  <c r="N37" i="30" s="1"/>
  <c r="N39" i="30" s="1"/>
  <c r="M41" i="30" s="1"/>
  <c r="M43" i="30" s="1"/>
  <c r="M44" i="30" s="1"/>
  <c r="G72" i="45"/>
  <c r="H72" i="45"/>
  <c r="D72" i="45"/>
  <c r="C72" i="45"/>
  <c r="E72" i="45"/>
  <c r="F72" i="45"/>
  <c r="A73" i="45"/>
  <c r="H59" i="29" l="1"/>
  <c r="I60" i="29" s="1"/>
  <c r="O72" i="45"/>
  <c r="Q71" i="45"/>
  <c r="X71" i="45" s="1"/>
  <c r="T71" i="45"/>
  <c r="R71" i="45"/>
  <c r="S71" i="45"/>
  <c r="X72" i="45"/>
  <c r="N28" i="30"/>
  <c r="D73" i="45"/>
  <c r="F73" i="45"/>
  <c r="E73" i="45"/>
  <c r="C73" i="45"/>
  <c r="J73" i="45" s="1"/>
  <c r="A74" i="45"/>
  <c r="T72" i="45" l="1"/>
  <c r="V72" i="45"/>
  <c r="S72" i="45"/>
  <c r="R72" i="45"/>
  <c r="U72" i="45"/>
  <c r="O73" i="45"/>
  <c r="Q72" i="45"/>
  <c r="C74" i="45"/>
  <c r="J74" i="45" s="1"/>
  <c r="E74" i="45"/>
  <c r="D74" i="45"/>
  <c r="F74" i="45"/>
  <c r="A75" i="45"/>
  <c r="J75" i="45"/>
  <c r="T73" i="45" l="1"/>
  <c r="O74" i="45"/>
  <c r="S73" i="45"/>
  <c r="Q73" i="45"/>
  <c r="X73" i="45" s="1"/>
  <c r="R73" i="45"/>
  <c r="E78" i="45"/>
  <c r="C75" i="45"/>
  <c r="F75" i="45"/>
  <c r="D75" i="45"/>
  <c r="H75" i="45"/>
  <c r="E75" i="45"/>
  <c r="G75" i="45"/>
  <c r="R74" i="45" l="1"/>
  <c r="X75" i="45"/>
  <c r="Q74" i="45"/>
  <c r="X74" i="45" s="1"/>
  <c r="T74" i="45"/>
  <c r="S74" i="45"/>
  <c r="O75" i="45"/>
  <c r="Q75" i="45" l="1"/>
  <c r="S75" i="45"/>
  <c r="T75" i="45"/>
  <c r="V75" i="45"/>
  <c r="U75" i="45"/>
  <c r="R75" i="45"/>
  <c r="S78" i="45"/>
</calcChain>
</file>

<file path=xl/comments1.xml><?xml version="1.0" encoding="utf-8"?>
<comments xmlns="http://schemas.openxmlformats.org/spreadsheetml/2006/main">
  <authors>
    <author>TM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38"/>
          </rPr>
          <t>TM: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<sst xmlns="http://schemas.openxmlformats.org/spreadsheetml/2006/main" count="7597" uniqueCount="1086">
  <si>
    <t>06.01.01.22</t>
  </si>
  <si>
    <t>08.02.02.21</t>
  </si>
  <si>
    <t>08.03.01.12</t>
  </si>
  <si>
    <t>Poz.</t>
  </si>
  <si>
    <t>Wyszczególnienie elementów rozliczeniowych
(Opis robót i obliczenie ich ilości)</t>
  </si>
  <si>
    <t>Nazwa jednostki</t>
  </si>
  <si>
    <t>Ilość jednostek</t>
  </si>
  <si>
    <t>Razem</t>
  </si>
  <si>
    <t/>
  </si>
  <si>
    <t>szt.</t>
  </si>
  <si>
    <t>Rozbiórki elementów dróg, ogrodzeń i przepustów</t>
  </si>
  <si>
    <t>m</t>
  </si>
  <si>
    <t>szt</t>
  </si>
  <si>
    <t>01.01.01</t>
  </si>
  <si>
    <t>01.02.02</t>
  </si>
  <si>
    <t>01.02.04</t>
  </si>
  <si>
    <t>PRZEDMIAR ROBÓT</t>
  </si>
  <si>
    <t>04.03.01</t>
  </si>
  <si>
    <t>Oczyszczenie i skropienie warstw konstrukcyjnych</t>
  </si>
  <si>
    <t>04.04.02</t>
  </si>
  <si>
    <t>Podbudowy z kruszywa łamanego stabilizowanego mechanicznie</t>
  </si>
  <si>
    <t>05.03.05</t>
  </si>
  <si>
    <t>Nawierzchnia z betonu asfaltowego</t>
  </si>
  <si>
    <t>06.01.01</t>
  </si>
  <si>
    <t>08.01.01</t>
  </si>
  <si>
    <t>Krawężniki betonowe</t>
  </si>
  <si>
    <t>08.02.02</t>
  </si>
  <si>
    <t>Chodnik z brukowej kostki betonowej</t>
  </si>
  <si>
    <t>08.03.01</t>
  </si>
  <si>
    <t xml:space="preserve">Betonowe obrzeża chodnikowe </t>
  </si>
  <si>
    <t>01.02.04.11</t>
  </si>
  <si>
    <t>01.02.04.22</t>
  </si>
  <si>
    <t>01.02.04.81</t>
  </si>
  <si>
    <t>I</t>
  </si>
  <si>
    <t>x</t>
  </si>
  <si>
    <t>6.1</t>
  </si>
  <si>
    <t>10.1</t>
  </si>
  <si>
    <t>II</t>
  </si>
  <si>
    <t>Inwestor:</t>
  </si>
  <si>
    <t>Nazwa zadania:</t>
  </si>
  <si>
    <t>KOSZTORYS OFERTOWY</t>
  </si>
  <si>
    <t>Słownie:</t>
  </si>
  <si>
    <t xml:space="preserve"> TABELA WARTOŚCI ELEMENTÓW  SCALONYCH </t>
  </si>
  <si>
    <t>Oznaczenie elementu</t>
  </si>
  <si>
    <t>Wyszczególnienie</t>
  </si>
  <si>
    <t xml:space="preserve">Wartość netto 
(PLN) </t>
  </si>
  <si>
    <t>KOSZT DOSTOSOWANIA SIĘ DO WYMAGAŃ WARUNKÓW KONTRAKTU</t>
  </si>
  <si>
    <t>ROBOTY  PRZYGOTOWAWCZE</t>
  </si>
  <si>
    <t>D</t>
  </si>
  <si>
    <t>E</t>
  </si>
  <si>
    <t>PODBUDOWY</t>
  </si>
  <si>
    <t>NAWIERZCHNIE</t>
  </si>
  <si>
    <t>ROBOTY  WYKOŃCZENIOWE</t>
  </si>
  <si>
    <t>ELEMENTY ULIC</t>
  </si>
  <si>
    <t>A</t>
  </si>
  <si>
    <t>SST 01.00.00
CPV 45111000-8</t>
  </si>
  <si>
    <t>B</t>
  </si>
  <si>
    <t>SST 04.00.00
CPV 45233000-9</t>
  </si>
  <si>
    <t>C</t>
  </si>
  <si>
    <t>SST 05.00.00
CPV 45233000-9</t>
  </si>
  <si>
    <t>SST 06.00.00
CPV 45233000-9</t>
  </si>
  <si>
    <t>F</t>
  </si>
  <si>
    <t>SST 07.00.00
CPV 45233000-9</t>
  </si>
  <si>
    <t>G</t>
  </si>
  <si>
    <t>SST 08.00.00
CPV 45233000-9</t>
  </si>
  <si>
    <t>00.00.00</t>
  </si>
  <si>
    <t>Cena jedn.
[zł]</t>
  </si>
  <si>
    <t>Wartość
[zł]</t>
  </si>
  <si>
    <t>KOSZTORYS INWESTORSKI</t>
  </si>
  <si>
    <t>SST 00.00.00</t>
  </si>
  <si>
    <t>02.03.01</t>
  </si>
  <si>
    <t>Wykonanie nasypów</t>
  </si>
  <si>
    <t>Skropienie warstw konstrukcyjnych ulepszonych emulsją asfaltową</t>
  </si>
  <si>
    <t>04.03.01.24</t>
  </si>
  <si>
    <t>Humusowanie z obsianiem skarp przy grubości humusu 10 cm</t>
  </si>
  <si>
    <t>ROBOTY ZIEMNE</t>
  </si>
  <si>
    <t>PODATEK VAT 23%</t>
  </si>
  <si>
    <t>Adres zadania:</t>
  </si>
  <si>
    <t>Kalkulację sporządził:</t>
  </si>
  <si>
    <t>Data opracowania kalkulacji:</t>
  </si>
  <si>
    <t>.............................</t>
  </si>
  <si>
    <t>Sporządził:</t>
  </si>
  <si>
    <t>Lp</t>
  </si>
  <si>
    <t>1.</t>
  </si>
  <si>
    <t>2.</t>
  </si>
  <si>
    <t>3.</t>
  </si>
  <si>
    <t>4.</t>
  </si>
  <si>
    <t>5.</t>
  </si>
  <si>
    <t>6.</t>
  </si>
  <si>
    <t>7.</t>
  </si>
  <si>
    <t>OGÓŁEM WARTOŚĆ KOSZTORYSOWA ROBÓT BRUTTO</t>
  </si>
  <si>
    <t>08.02.02.10</t>
  </si>
  <si>
    <t xml:space="preserve">Wykonanie chodnika "na szlaku" z kostki brukowej betonowej o gr. 6cm </t>
  </si>
  <si>
    <t>H</t>
  </si>
  <si>
    <t>03.02.01</t>
  </si>
  <si>
    <t>Kanalizacja deszczowa</t>
  </si>
  <si>
    <t>ODWODNIENIE KORPUSU DROGOWEGO</t>
  </si>
  <si>
    <t>8.</t>
  </si>
  <si>
    <t>04.01.01</t>
  </si>
  <si>
    <t>Koryto wraz z profilowaniem i zagęszczeniem podłoża</t>
  </si>
  <si>
    <t xml:space="preserve">Koszt dostosowania się do warunków kontraktowych </t>
  </si>
  <si>
    <t>1.1</t>
  </si>
  <si>
    <t>1.2</t>
  </si>
  <si>
    <t>1.3</t>
  </si>
  <si>
    <t>1.4</t>
  </si>
  <si>
    <t>1.5</t>
  </si>
  <si>
    <t>1.6</t>
  </si>
  <si>
    <t xml:space="preserve">Wyznaczenie trasy i punktów wysokościowych </t>
  </si>
  <si>
    <t>Zdjęcie warstwy humusu i darniny</t>
  </si>
  <si>
    <t>01.02.04.21</t>
  </si>
  <si>
    <t>01.02.04.83</t>
  </si>
  <si>
    <t>SST 02.00.00
CPV 45112000-5</t>
  </si>
  <si>
    <t>SST 03.00.00
CPV 45231000-5</t>
  </si>
  <si>
    <t>03.02.01.22</t>
  </si>
  <si>
    <t>04.02.01</t>
  </si>
  <si>
    <t>Warstwy odcinające</t>
  </si>
  <si>
    <t>05.02.01</t>
  </si>
  <si>
    <t>06.01.01.42</t>
  </si>
  <si>
    <t>Oznakowanie pionowe</t>
  </si>
  <si>
    <t>07.02.01</t>
  </si>
  <si>
    <t>07.02.01.41</t>
  </si>
  <si>
    <t>Ustawienie obrzeży betonowych o wymiarach 30x8cm</t>
  </si>
  <si>
    <t>Wartość kosztorysowa robót  (netto):</t>
  </si>
  <si>
    <t>Ogółem wartość kosztorysowa robót (brutto):</t>
  </si>
  <si>
    <t>OZNAKOWANIE DRÓG I URZĄDZENIA BEZPIECZEŃSTWA RUCHU</t>
  </si>
  <si>
    <t>9.</t>
  </si>
  <si>
    <t>III</t>
  </si>
  <si>
    <t>WYMAGANIA OGÓLNE (DZIAŁ OGÓLNY)</t>
  </si>
  <si>
    <t>Nawierzchnia tłuczniowa</t>
  </si>
  <si>
    <t>Wykonanie geodezyjnej inwentaryzacji powykonawczej</t>
  </si>
  <si>
    <t>1.7</t>
  </si>
  <si>
    <t>01.01.01.22</t>
  </si>
  <si>
    <t>7.1</t>
  </si>
  <si>
    <t>8.1</t>
  </si>
  <si>
    <t>9.1</t>
  </si>
  <si>
    <t>01.02.04.24</t>
  </si>
  <si>
    <t>11.1</t>
  </si>
  <si>
    <t>01.02.04.72</t>
  </si>
  <si>
    <t>Rozebranie słupków do znaków drogowych</t>
  </si>
  <si>
    <t>Zdjęcie tarcz znaków drogowych</t>
  </si>
  <si>
    <t>01.02.04.71</t>
  </si>
  <si>
    <t>01.02.04.91</t>
  </si>
  <si>
    <t>02.01.01</t>
  </si>
  <si>
    <t>02.01.01.12</t>
  </si>
  <si>
    <t xml:space="preserve">Wykonanie wykopów mechanicznie w gr. kat. I-V z transportem urobku
 w nasyp </t>
  </si>
  <si>
    <t>02.01.01.14</t>
  </si>
  <si>
    <t>Wykonanie wykopów mechanicznie w gr. kat. I-V z transportem urobku na odkład</t>
  </si>
  <si>
    <t>Wykonanie wykopów w gruntach I-V kat.</t>
  </si>
  <si>
    <t>02.03.01.11</t>
  </si>
  <si>
    <t>Wykonanie nasypów mechanicznie z gruntu kat. I-VI uzyskanego z wykopu</t>
  </si>
  <si>
    <t>03.01.01</t>
  </si>
  <si>
    <t>Przepusty pod koroną drogi</t>
  </si>
  <si>
    <t>03.01.01.11</t>
  </si>
  <si>
    <t>Ułożenie przepustów pod koroną drogi, rury żelbetowe o średnicy 60cm</t>
  </si>
  <si>
    <t>Na wykonanie 1 m przepustu składa się:</t>
  </si>
  <si>
    <t>03.01.03</t>
  </si>
  <si>
    <t>Czyszczenie urządzeń odwadniających</t>
  </si>
  <si>
    <t>03.01.03.12</t>
  </si>
  <si>
    <t>Na wykonanie 1 m kanału deszczowego składa się:</t>
  </si>
  <si>
    <t>Przykanaliki deszczowe</t>
  </si>
  <si>
    <t>03.02.01.41</t>
  </si>
  <si>
    <t>&lt;obsypki 20cm ponad wierzch rury z kruszyw naturalnych - piasek, średnio: 1,0x(1,5x0,85-3,14x0,325x0,325)&gt;</t>
  </si>
  <si>
    <t>04.02.01.22</t>
  </si>
  <si>
    <t>04.03.01.14</t>
  </si>
  <si>
    <t>04.03.01.23</t>
  </si>
  <si>
    <t>Skropienie warstw konstrukcyjnych nieulepszonych emulsją asfaltową</t>
  </si>
  <si>
    <t>04.05.01</t>
  </si>
  <si>
    <t>Umocnienie skarp, rowów i ścieków</t>
  </si>
  <si>
    <t xml:space="preserve">Umocnienie skarp brukowcem na betonie </t>
  </si>
  <si>
    <t xml:space="preserve">Ustawienie słupków z rur stalowych dla znaków drogowych </t>
  </si>
  <si>
    <t>07.02.01.45</t>
  </si>
  <si>
    <t>07.06.02</t>
  </si>
  <si>
    <t>Urządzenia zabezpieczające ruch pieszych</t>
  </si>
  <si>
    <t>07.06.02.11</t>
  </si>
  <si>
    <t>Wykonanie i zatwierdzenie projektu oznakowania robót i organizacji ruchu na czas prowadzenia robót (4 egz.) wraz z zakupem, ustawieniem, rozbiórką (po zakończeniu robót) i utrzymaniem oznakowania w trakcie realizacji robót</t>
  </si>
  <si>
    <r>
      <t xml:space="preserve">ROBOTY PRZYGOTOWAWCZE
</t>
    </r>
    <r>
      <rPr>
        <sz val="10"/>
        <rFont val="Times New Roman"/>
        <family val="1"/>
        <charset val="238"/>
      </rPr>
      <t>Roboty w zakresie burzenia, roboty ziemne</t>
    </r>
  </si>
  <si>
    <r>
      <t>m</t>
    </r>
    <r>
      <rPr>
        <b/>
        <vertAlign val="superscript"/>
        <sz val="10"/>
        <rFont val="Times New Roman"/>
        <family val="1"/>
        <charset val="238"/>
      </rPr>
      <t>2</t>
    </r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</si>
  <si>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</si>
  <si>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</si>
  <si>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r>
      <t>m</t>
    </r>
    <r>
      <rPr>
        <b/>
        <vertAlign val="superscript"/>
        <sz val="10"/>
        <rFont val="Times New Roman"/>
        <family val="1"/>
        <charset val="238"/>
      </rPr>
      <t>3</t>
    </r>
  </si>
  <si>
    <r>
      <t xml:space="preserve">ODWODNIENIE KORPUSU DROGOWEGO
</t>
    </r>
    <r>
      <rPr>
        <sz val="10"/>
        <rFont val="Times New Roman"/>
        <family val="1"/>
        <charset val="238"/>
      </rPr>
      <t>Roboty budowlane w zakresie budowy rurociągów, ciągów komunikacyjnych i linii energetycznych</t>
    </r>
  </si>
  <si>
    <r>
      <t xml:space="preserve">PODBUDOWY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</si>
  <si>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r>
      <t xml:space="preserve">NAWIERZCHNIE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</si>
  <si>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r>
      <t xml:space="preserve">ROBOTY WYKOŃCZENIOWE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</si>
  <si>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r>
      <t xml:space="preserve">OZNAKOWANIE DRÓG I URZĄDZENIA BEZPIECZEŃSTWA RUCHU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</si>
  <si>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r>
      <t xml:space="preserve">ELEMENTY ULIC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</si>
  <si>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t>PRZEBUDOWA GAZOCIĄGU
(ROBOTY GAZOWE)</t>
  </si>
  <si>
    <t>12.</t>
  </si>
  <si>
    <t>L</t>
  </si>
  <si>
    <r>
      <t xml:space="preserve">ROBOTY ZIEMNE
</t>
    </r>
    <r>
      <rPr>
        <sz val="10"/>
        <rFont val="Times New Roman"/>
        <family val="1"/>
        <charset val="238"/>
      </rPr>
      <t>Roboty w zakresie usuwania gleby</t>
    </r>
  </si>
  <si>
    <t>Wyszczególnienie elementów rozliczeniowych
(Opis robót)</t>
  </si>
  <si>
    <t>WARTOŚĆ KOSZTORYSOWA ROBÓT BEZ PODATKU VAT:</t>
  </si>
  <si>
    <t>PODATEK VAT 23%:</t>
  </si>
  <si>
    <t>OGÓŁEM WARTOŚĆ KOSZTORYSOWA ROBÓT BRUTTO:</t>
  </si>
  <si>
    <t>06.04.01</t>
  </si>
  <si>
    <t>Rowy/roboty remontowe i utrzymaniowe/</t>
  </si>
  <si>
    <t>06.01.01.20</t>
  </si>
  <si>
    <t>km</t>
  </si>
  <si>
    <t>ROBOTY BUDOWLANE W ZAKRESIE GAZOCIĄGÓW</t>
  </si>
  <si>
    <t>Podstawy
[Nr STWiORB/ CPV]</t>
  </si>
  <si>
    <t>Wykonanie planu bezpieczeństwa i ochrony zdrowia (BIOZ) i programu zapwenienia jakości (PZJ) oraz harmonogramu rzeczowo-finansowego wraz aktualizacją w czasie robót</t>
  </si>
  <si>
    <t>BUDOWA CHODNIKA DLA PIESZYCH (ROBOTY DROGOWE)</t>
  </si>
  <si>
    <t>Wyznaczenie trasy i punktów wysokościowych w terenie równinnym</t>
  </si>
  <si>
    <t>Rozebranie ścianek czołowych i ław przepustów rurowych</t>
  </si>
  <si>
    <t>&lt; wykonanie podsypki z pospółki na szerokość średnicy przepustu - grubość (średnia) podsypki 30 cm: 0,26m2x1,0m&gt;</t>
  </si>
  <si>
    <t>&lt; odkopanie przepustu średnio: 1,32m2x1,0m&gt;</t>
  </si>
  <si>
    <t>&lt; wykonanie zasypki  piaskowo-żwirowej przepustu średnio:  0,66m2x1,0m&gt;</t>
  </si>
  <si>
    <t>Branża:</t>
  </si>
  <si>
    <t>&lt;podłoża pod kanały z materiałów sypkich - piasku, grubość 20·cm, średnio: 0,18m2x1,0m&gt;</t>
  </si>
  <si>
    <t>04.01.01.15</t>
  </si>
  <si>
    <t>Wykonanie koryta mechanicznie wraz z profilowaniem i zagęszczaniem podłoża w gr. kat I-VI, głębok. koryta ponad 40cm</t>
  </si>
  <si>
    <t>04.05.01.41</t>
  </si>
  <si>
    <t>Wykonanie nawierzchni z tłucznia kamiennego, gr. w-wy 15cm</t>
  </si>
  <si>
    <t>05.02.01.12</t>
  </si>
  <si>
    <t>Wykonanie nawierzchni z betonu asfaltowego AC warstwa wiążąca,  gr. w-wy 7 cm</t>
  </si>
  <si>
    <t>Wykonanie nawierzchni z betonu asfaltowego AC warstwa ścieralna, gr. w-wy 4 cm</t>
  </si>
  <si>
    <t>Wykonanie nawierzchni z betonu asfaltowego AC warstwa ścieralna, gr. w-wy 5 cm</t>
  </si>
  <si>
    <t>Przymocowanie tarcz do słupków</t>
  </si>
  <si>
    <t xml:space="preserve">Ustawienie poręczy ochronnych sztywnych </t>
  </si>
  <si>
    <t xml:space="preserve">Wykonanie chodnika na zjazdach z kostki kolorowej brukowej betonowej o gr. 8 cm </t>
  </si>
  <si>
    <t>05.03.05.A</t>
  </si>
  <si>
    <t>05.03.05.C</t>
  </si>
  <si>
    <t>M. CZARNA SĘDZISZOWSKA
GMINA SĘDZISZÓW MAŁOPOLSKI
POWIAT ROPCZYCKO - SĘDZISZOWSKI
WOJ. PODKARPACKIE</t>
  </si>
  <si>
    <t>RAZEM [I]</t>
  </si>
  <si>
    <t>RAZEM [II]</t>
  </si>
  <si>
    <t xml:space="preserve">WARTOŚĆ KOSZTORYSOWA ROBÓT NETTO [I+II] </t>
  </si>
  <si>
    <t>01.02.02.15</t>
  </si>
  <si>
    <r>
      <t>m</t>
    </r>
    <r>
      <rPr>
        <i/>
        <vertAlign val="superscript"/>
        <sz val="10"/>
        <rFont val="Times New Roman"/>
        <family val="1"/>
        <charset val="238"/>
      </rPr>
      <t>3</t>
    </r>
  </si>
  <si>
    <t>18.1</t>
  </si>
  <si>
    <r>
      <t xml:space="preserve">Wykonanie studzienek ściekowych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50cm w gotowym wykopie</t>
    </r>
  </si>
  <si>
    <t>41.1</t>
  </si>
  <si>
    <t>Tabela Nr 4</t>
  </si>
  <si>
    <t xml:space="preserve">TABELA ZDJĘCIA HUMUSU </t>
  </si>
  <si>
    <t>CHODNIK W CIĄGU DW NR 987</t>
  </si>
  <si>
    <t>Km</t>
  </si>
  <si>
    <t>Hm</t>
  </si>
  <si>
    <t>Odległości</t>
  </si>
  <si>
    <t>Zdjęcie humusu gr. 15 cm i darniny gr. 10 cm</t>
  </si>
  <si>
    <t>Szerokość [m]</t>
  </si>
  <si>
    <t>Szerokość średnia    
[m]</t>
  </si>
  <si>
    <t>Powierzchnia                 [m2]</t>
  </si>
  <si>
    <t>CHODNIK W CIĄGU DP NR 1333R</t>
  </si>
  <si>
    <t>RAZEM:</t>
  </si>
  <si>
    <t>ZJAZDY:</t>
  </si>
  <si>
    <t>ZW0</t>
  </si>
  <si>
    <t>ZW1</t>
  </si>
  <si>
    <t>ZW2</t>
  </si>
  <si>
    <t>ZP1</t>
  </si>
  <si>
    <t>ZP2</t>
  </si>
  <si>
    <r>
      <t>m</t>
    </r>
    <r>
      <rPr>
        <vertAlign val="superscript"/>
        <sz val="9"/>
        <rFont val="Arial CE"/>
        <charset val="238"/>
      </rPr>
      <t>2</t>
    </r>
  </si>
  <si>
    <t>Tabela Nr 5</t>
  </si>
  <si>
    <t>TABELA HUMUSOWANIA</t>
  </si>
  <si>
    <t>humusowanie gr. warstwy  proj. humusu 10cm</t>
  </si>
  <si>
    <t>Objętość zdjętego humusu wg tabeli nr 4 warstwa gr. 15cm.</t>
  </si>
  <si>
    <r>
      <t>m</t>
    </r>
    <r>
      <rPr>
        <vertAlign val="superscript"/>
        <sz val="9"/>
        <rFont val="Arial CE"/>
        <charset val="238"/>
      </rPr>
      <t>3</t>
    </r>
  </si>
  <si>
    <t>Powierzchnia humusu przeznacozna do usunięcia i wywiezienia na odkład przez Wykonawcę</t>
  </si>
  <si>
    <t xml:space="preserve">TABELA ROBÓT ZIEMNYCH                         </t>
  </si>
  <si>
    <t>Powierzchnia</t>
  </si>
  <si>
    <t>Średnia powierzchnia</t>
  </si>
  <si>
    <t>Odległość (m)</t>
  </si>
  <si>
    <t>Objętość</t>
  </si>
  <si>
    <t>Zyżycie na miejscu [m3]</t>
  </si>
  <si>
    <t>Nadmiar objętości</t>
  </si>
  <si>
    <t>Suma alg.</t>
  </si>
  <si>
    <t>Wykop</t>
  </si>
  <si>
    <t>Nasyp</t>
  </si>
  <si>
    <t>+</t>
  </si>
  <si>
    <t>-</t>
  </si>
  <si>
    <t>[m2]</t>
  </si>
  <si>
    <t>[m3]</t>
  </si>
  <si>
    <t>a</t>
  </si>
  <si>
    <t>b</t>
  </si>
  <si>
    <t>c</t>
  </si>
  <si>
    <t>d</t>
  </si>
  <si>
    <t>e</t>
  </si>
  <si>
    <t>f</t>
  </si>
  <si>
    <t>g</t>
  </si>
  <si>
    <t>Razem:</t>
  </si>
  <si>
    <t>Wykop
[m3]</t>
  </si>
  <si>
    <t>Nasyp
[m3]</t>
  </si>
  <si>
    <t>Bilans [m3]</t>
  </si>
  <si>
    <t>Wykonanie studni kanalizacyjnych przelotowych betonowych ø120 cm - 4,0 sztuk (wykopy i nasypy niezbedne dla wykonania kanału deszcozwego ujęto w ilościach wykazanych w tabeli robót ziemnych)</t>
  </si>
  <si>
    <t>Wykonanie studni kanalizacyjnej połączeniowej o średnicy ø150 cm w gotowym wykopie - 1,0 sztuka</t>
  </si>
  <si>
    <t>Wykonanie przykanalików deszczowych - 11mb</t>
  </si>
  <si>
    <t>Wykonanie studzienek ściekowych ø50cm - 4,0 sztuk</t>
  </si>
  <si>
    <t>WYKOPY OGÓŁEM [m3]</t>
  </si>
  <si>
    <t>NASYPY OGÓŁEM [m3]</t>
  </si>
  <si>
    <t>NADMIAR GRUNTU PRZEZNACOZNY NA ODKŁAD [m3]</t>
  </si>
  <si>
    <t>Tabela nr 7</t>
  </si>
  <si>
    <t>WYKONANIE KORYTA</t>
  </si>
  <si>
    <t>Wykonanie koryta o gł. śr. 55cm</t>
  </si>
  <si>
    <t>Tabela nr 8</t>
  </si>
  <si>
    <t>WYKONANIE WARSTWY ODCINAJĄCEJ</t>
  </si>
  <si>
    <t>Warstwa odcinająca z pospółki gr. 10cm</t>
  </si>
  <si>
    <t>Tabela nr 9</t>
  </si>
  <si>
    <t>WYKONANIE WARSTWY WIĄŻĄCEJ 
Z BETONU ASFALTOWEGO AC 16W</t>
  </si>
  <si>
    <t>Warstwa wiążaca z betonu asfaltowego gr. 7cm</t>
  </si>
  <si>
    <t>Tabela nr 10</t>
  </si>
  <si>
    <t>WYKONANIE WARSTWY ŚCIERALNEJ
Z BETONU ASFALTOWEGO AC 11S</t>
  </si>
  <si>
    <t>Warstwa ścieralna z betonu asfaltowego gr. 5cm</t>
  </si>
  <si>
    <t>Tabela nr 1. Zjazdy indywidualne/publiczne</t>
  </si>
  <si>
    <t>Oznaczenie zjazdu na mapie sytuacyjnej</t>
  </si>
  <si>
    <t>Rodzaj</t>
  </si>
  <si>
    <t>Istn. średnia dłogość w pasie drogowym 
[m]</t>
  </si>
  <si>
    <t>Istn. średnia szerokość 
[m]</t>
  </si>
  <si>
    <t>Szerokość wylotu [m]</t>
  </si>
  <si>
    <t>Rodzaj istn. nawierzchni:
A-grunt
B-grunt/kruszywo
C-kruszywo łamane
D-kruszywo naturalne
E-beton
F-kostka brukowa
G-masa bitumiczna</t>
  </si>
  <si>
    <r>
      <t>Średnica istn. przepustu [</t>
    </r>
    <r>
      <rPr>
        <sz val="10"/>
        <rFont val="Symbol"/>
        <family val="1"/>
        <charset val="2"/>
      </rPr>
      <t xml:space="preserve">f] </t>
    </r>
    <r>
      <rPr>
        <sz val="10"/>
        <rFont val="Arial"/>
        <family val="2"/>
        <charset val="238"/>
      </rPr>
      <t>cm</t>
    </r>
  </si>
  <si>
    <t>Dł. istn. przepustu 
[m]</t>
  </si>
  <si>
    <t>Dł. przepustu do rozbiórki
[m]</t>
  </si>
  <si>
    <t>Materiał przepustu</t>
  </si>
  <si>
    <t>Długość projektowanego przepustu [m] /przełożenie istn./rozbiórka</t>
  </si>
  <si>
    <t>Uzupełnienie kruszywem łamanym [m2]</t>
  </si>
  <si>
    <t>Powierzchnia kostki betonowej/krat ażurowych [m2]</t>
  </si>
  <si>
    <t>Powierzchnia masy bitumicznej [m2]</t>
  </si>
  <si>
    <t>Istn. krawężniki drogowe na zjazdach [m]</t>
  </si>
  <si>
    <t>Uwagi</t>
  </si>
  <si>
    <t>zjazd indywidualny</t>
  </si>
  <si>
    <t>beton</t>
  </si>
  <si>
    <t>Tabela nr 2. Roboty przygotowawcze/rozbiórkowe</t>
  </si>
  <si>
    <t>Rodzaj robót</t>
  </si>
  <si>
    <t>Jednostka</t>
  </si>
  <si>
    <t>Wymiar</t>
  </si>
  <si>
    <t>Ilość</t>
  </si>
  <si>
    <t>Tabela Nr 6</t>
  </si>
  <si>
    <t>ryczałt</t>
  </si>
  <si>
    <t>PRZEBUDOWA DROGI WOJEWÓDZKIEJ NR 987 KOLBUSZOWA – SĘDZISZÓW MAŁOPOLSKI POLEGAJĄCA NA BUDOWIE CHODNIKA DLA PIESZYCH W KM 13+788 ÷ 13+940 STRONA LEWA W MIEJSCOWOŚCI CZARNA SĘDZISZOWSKA</t>
  </si>
  <si>
    <t>Wykonanie  powykonawczej dokumentacji odbiorowej (operat kolaudacyjny 2 egz. ) wraz z wersją elektroniczną w zapisie pdf</t>
  </si>
  <si>
    <t xml:space="preserve">Doprowadzenie terenu do stanu pierwotnego oraz wykonanie docelowej organizacji ruchu (oznakowanie pionowe i poziome) zgodnie z wymaganymi standardami </t>
  </si>
  <si>
    <t>Wykonanie przedłużenia istniejącego przepustu drogowego "P1" w km 13+942,4 poprzez ułożenie rur jednootworowych, żelbetowych o śr. wew. 60cm wraz z podłączeniem do studni "SP1", izolacja R+2P.
&lt;L= 2,0m - istn. przepust P1 od strony wlotu (studnia SP1)&gt; - wg rys. nr 2 Plan sytuacyjny  i Tabeli nr 3 - w ciągu DP</t>
  </si>
  <si>
    <t>Wykonanie nawierzchni z tłucznia kamiennego o gr. 15cm na zjazdach indywidualnych  
&lt;F1=14,01m2- zjazd ZW0 w km 13+786,0&gt; - w ciągu DW
&lt;F2=9,50m2 - zjazd ZW1 w km 13+889,0&gt; - w ciągu DW
&lt;F3=18,56m2 - zjazd ZP2 w km 0+046,30&gt; - w ciągu DP
&lt;Razem: F=42,07m2&gt;</t>
  </si>
  <si>
    <t>05.03.11</t>
  </si>
  <si>
    <t>Recykling /remixing/</t>
  </si>
  <si>
    <t>05.03.11.35</t>
  </si>
  <si>
    <t xml:space="preserve">Wykonanie frezowania nawierzchni asfaltowych na zimno: śr. gr. w-wy ponad 6 cm </t>
  </si>
  <si>
    <t>05.03.26</t>
  </si>
  <si>
    <t>Zabezpieczenie geosiatką nawierzchni asfaltowej przed spękaniami odbitymi</t>
  </si>
  <si>
    <t>05.03.26A</t>
  </si>
  <si>
    <t>Wykonanie warstwy z geosiatki w celu zabezpieczenia nawierzchni asfaltowej przed spękaniami odbitymi</t>
  </si>
  <si>
    <t>Ustawienie ogrodzeń segmentowych (balustrad szczeblinkowych)  na fundamencie betonowym.
&lt;L1=7,00m&gt; - w ciągu DP
&lt;L2=29,00m&gt;  - w ciągu DW
&lt;Razem: L=36,00m&gt;  - wg rys. Szczegółu nr 1.8 i rys. nr 2 Plan sytuacyjny</t>
  </si>
  <si>
    <t>OGÓŁEM DW:</t>
  </si>
  <si>
    <t>OGÓŁEM DP:</t>
  </si>
  <si>
    <t>Humus do ponownego wykorzystnia na miejscu  warstwa gr. 10 cm w ciągu DP.</t>
  </si>
  <si>
    <t>Wykorzystanie humusu na miejscu wg. tabeli nr 5 warstwa gr. 10 cm - DP</t>
  </si>
  <si>
    <t>Wykorzystanie humusu na miejscu wg. tabeli nr 5 warstwa gr. 10 cm - DW</t>
  </si>
  <si>
    <t>Humus do ponownego wykorzystnia na miejscu  warstwa gr. 10 cm w ciagu DW.</t>
  </si>
  <si>
    <t>Powierzchnia humusu do zdjęcia i wywiezienia na odkład warstwa gr. 15 cm - DW</t>
  </si>
  <si>
    <t>Powierzchnia humusu do zdjęcia i wywiezienia na odkład warstwa gr. 15 cm - DP</t>
  </si>
  <si>
    <t xml:space="preserve">Roboty ziemne związane z wykonaniem kanału deszczowego i studzieniek ściekowych w ciągu DW </t>
  </si>
  <si>
    <t>BILANS MAS ZIEMNYCH W CIĄGU DW NR 987</t>
  </si>
  <si>
    <t>BILANS MAS ZIEMNYCH W CIĄGU DP NR 1333R</t>
  </si>
  <si>
    <t>Wykonanie nawierzchni z betonu asfaltowego AC 16W, warstwa wiążąca,  gr. w-wy 7 cm na poszerzeniach jezdni DW i DP.
&lt;F1 = 226,45m2&gt; - w ciągu DW
&lt;F2 = 31,49m2&gt; - w ciągu DP
&lt;Razem: F=257,94m2&gt; - wg. Tabeli nr 9</t>
  </si>
  <si>
    <t>Umocnienie  skarp (skarpy i dno rowu przydrożnego ) kostką brukową betonową gr. 6cm na betonie C8/10 o gr. 10cm przy wlocie i wylocie "Wl1 i Wl2" kanału deszczowego Dn500. 
&lt;F1=7,4m2&gt;  - w ciągu DW
&lt;F2=7,4m2&gt;  - w ciągu DP
&lt;Razem: F=14,80m2&gt; - wg. rys. Szczegółu nr 1.7</t>
  </si>
  <si>
    <t>jeżeli "naście"</t>
  </si>
  <si>
    <t>0-5</t>
  </si>
  <si>
    <t>6-9</t>
  </si>
  <si>
    <t>dodatek</t>
  </si>
  <si>
    <t>sumuj te ciągi</t>
  </si>
  <si>
    <t>mgr inż.Tomasz Mroczek
mgr inż. Roman Charchut</t>
  </si>
  <si>
    <t>ZI1</t>
  </si>
  <si>
    <t>X</t>
  </si>
  <si>
    <t>DANE OGÓLNE</t>
  </si>
  <si>
    <t>Nawierzchnia z betonowej kostki brukowej wibroprasowanej gr.8cm kolor czerwony 
[m2]</t>
  </si>
  <si>
    <t>NAWIERZCHNIA 
(W-WA ŚCIERALNA)</t>
  </si>
  <si>
    <t>W-wa odcinająca z piasku o gr. 10cm
[m2]</t>
  </si>
  <si>
    <t>W-wa podbudowy z kruszywa naturalnego stabil. cementem o gr. 15cm i o Rm=1,5 Mpa
[m2]</t>
  </si>
  <si>
    <t>W-wa podbudowy z kruszywa naturalnego stabil. cementem o  gr. 20cm i o Rm=2,5 Mpa
[m2]</t>
  </si>
  <si>
    <t>POBOCZA</t>
  </si>
  <si>
    <t>Rozbiórka konstrukcji zjazdu</t>
  </si>
  <si>
    <t>ZI2</t>
  </si>
  <si>
    <t>ZI3</t>
  </si>
  <si>
    <t>ZI4</t>
  </si>
  <si>
    <t xml:space="preserve">Rozbiórka istn. nawierzchni 
[m2] </t>
  </si>
  <si>
    <t>Rozbiórka ścian przepustów
[m3]</t>
  </si>
  <si>
    <t>Rozbiórka konstrukcji zjazdu i przepustu betonowego wraz z ścianami czołowymi</t>
  </si>
  <si>
    <t>ZI5</t>
  </si>
  <si>
    <t>ZI6</t>
  </si>
  <si>
    <t xml:space="preserve">Rozbiórka konstrukcji zjazdu i przepustu betonowego </t>
  </si>
  <si>
    <t>ZI7</t>
  </si>
  <si>
    <t xml:space="preserve">Rozbiórka konstrukcji zjazdu i żelbetowych płyt drogowych </t>
  </si>
  <si>
    <t>ZI8</t>
  </si>
  <si>
    <t>ZI9</t>
  </si>
  <si>
    <t>Odcinek</t>
  </si>
  <si>
    <t>od km 0+000 do km 0+205</t>
  </si>
  <si>
    <t>ZI10</t>
  </si>
  <si>
    <t>ZI11</t>
  </si>
  <si>
    <t>Rozbiórka elementów przestrzennych tj. płyty betonowe, podkłady kolejowe, krawężniki itd. 
[m3]</t>
  </si>
  <si>
    <t>Nawierzchnia z betonowej kostki brukowej - materiał z uprzedniej rozbiórki
[m2]</t>
  </si>
  <si>
    <t>Rozbiórka zjazdu z kostki brukowej, demontaż krawężników i przełożenie w cześci istn. nawierzchni</t>
  </si>
  <si>
    <t>ZI12</t>
  </si>
  <si>
    <t>ZI13</t>
  </si>
  <si>
    <t>ZI14</t>
  </si>
  <si>
    <t>od km 0+205 do km  0+257,4</t>
  </si>
  <si>
    <t>ZI15</t>
  </si>
  <si>
    <t xml:space="preserve">Rozbiórka konstrukcji zjazdu </t>
  </si>
  <si>
    <t>ZI16</t>
  </si>
  <si>
    <t>ZI17</t>
  </si>
  <si>
    <t xml:space="preserve">Rozbiórka konstrukcji zjazdu  i przepustu betonowego </t>
  </si>
  <si>
    <t>ZI18</t>
  </si>
  <si>
    <t>ZI19</t>
  </si>
  <si>
    <t>Wykonanie nawierzchni bitumicznej na zjeździe</t>
  </si>
  <si>
    <t>od km 0+257,4 do km 0+452</t>
  </si>
  <si>
    <t>RAZEM</t>
  </si>
  <si>
    <t>ROZBIÓRKI</t>
  </si>
  <si>
    <t>INNE</t>
  </si>
  <si>
    <t>ODZYSK</t>
  </si>
  <si>
    <t>Wykonanie wyznaczenia granic pasa drogowego (I.P.D.) w terenie wraz z wyniesieniem i zastabilizowaniem słupkami PD</t>
  </si>
  <si>
    <t>Koszt dostosowania się do pozostałych wymagań Warunków Kontraktu,Wymagań Ogólnych zawartych w Specyfikacji Technicznej Wykonania i Odbioru Robót Budowlanych DM.00.00.00 oraz szczegółowych STWiORB. Koszty spełnienia wymagań zarządców/właścicieli istniejących sieci zgodnie z załączonymi do dokumentacji technicznej uzgodnieniami, decyzjami i warunkami technicznymi.</t>
  </si>
  <si>
    <t>01.02.01</t>
  </si>
  <si>
    <t xml:space="preserve">Usunięcie drzew lub krzaków </t>
  </si>
  <si>
    <t>Karczowanie drzew o średnicy 10-35cm</t>
  </si>
  <si>
    <t>01.02.01.11</t>
  </si>
  <si>
    <t>01.02.01.22</t>
  </si>
  <si>
    <t>Karczowanie krzaków i poszycia</t>
  </si>
  <si>
    <t>Karczowanie drzew o średnicy 10-35cm wraz z usunieciem (zniszczeniem) karpiny, wywozem gałęzi i dłużyc oraz zasypaniem dołów. Dłużyce i gałęzie pozostają własnością Zamawiającego, należy je przewieźć na miejsce wskazane przez Zamawiajacego.
&lt;N=6,0szt.&gt;</t>
  </si>
  <si>
    <t>Karczowanie krzaków (samosiewy)  i krzewów ozdobnych wraz z usunięciem (zniszczeniem) karpiny, drągowiny i gałęzi. Materiał z karczowania stanowi własnośc Wykonawcy robót.
&lt;F=12,0m2&gt;</t>
  </si>
  <si>
    <r>
      <t>m</t>
    </r>
    <r>
      <rPr>
        <b/>
        <vertAlign val="superscript"/>
        <sz val="10"/>
        <color indexed="10"/>
        <rFont val="Times New Roman"/>
        <family val="1"/>
        <charset val="238"/>
      </rPr>
      <t>2</t>
    </r>
  </si>
  <si>
    <t>Mechaniczne usunięcie warstwy ziemi urodzajnej (humusu) o średniej gr. w-wy 25 cm z darniną do późniejszego wykorzystania</t>
  </si>
  <si>
    <t>01.02.02.13</t>
  </si>
  <si>
    <t>Mechaniczne usunięcie warstwy urodzajnej (humusu) gr. w-wy 25cm  ze złożeniem na placu Wykonawcy. Humus do późniejszego wykorzystania (proj. grubość humusu 10cm) . Miejsce składowania zapewnia Wykonawca. Średnia grubość w-wy darniny 10cm. Darnina przechodzi na własność Wykonawcy.
&lt;F= 1400,00m2&gt; - wg Tabeli nr ..........&gt;</t>
  </si>
  <si>
    <r>
      <t>m</t>
    </r>
    <r>
      <rPr>
        <vertAlign val="superscript"/>
        <sz val="10"/>
        <color indexed="10"/>
        <rFont val="Times New Roman"/>
        <family val="1"/>
        <charset val="238"/>
      </rPr>
      <t>2</t>
    </r>
  </si>
  <si>
    <t>Mechaniczne usunięcie warstwy ziemi urodzajnej (humusu) o średniej gr. w-wy 25 cm z darniną z transportem na odkład</t>
  </si>
  <si>
    <t>Mechaniczne usunięcie warstwy urodzajnej (humusu) gr. w-wy 25cm z transportem na odkład. Transport i miejsce składowania zapewnia Wykonawca. Darnina i humus przechodzi na własność Wykonawcy
&lt;F=............m2 - wg Tabeli nr ........&gt;</t>
  </si>
  <si>
    <t>Rozebranie podbudowy z kruszywa, gr. w-wy około 25 cm</t>
  </si>
  <si>
    <t>BUDOWA CHODNIKA DLA PIESZYCH  W CIĄGU DP (ROBOTY DROGOWE)</t>
  </si>
  <si>
    <t>Rozebranie podbudowy z kruszywa o gr. w-wy około 25cm na zjazdach indywidualnych  oraz podsypki (fundamentów) pod przepustami na zjazdach.
&lt;F1=39,6+18,0+40,0+38,25=135,85m2&gt;- zjazdy 
&lt;F2=31,56m2&gt; - przepusty
&lt;Razem: F=167,41m2&gt; - wg Tabeli nr 1</t>
  </si>
  <si>
    <t>Materiał z rozbiórki przechodzi na własność Zamawiającego.Transport materiału przez Wykonawcę na plac składowania wskazany przez Zamawiajacego.
&lt;V=167,41m2 x0,25m =41,85m3&gt;</t>
  </si>
  <si>
    <r>
      <t>m</t>
    </r>
    <r>
      <rPr>
        <vertAlign val="superscript"/>
        <sz val="10"/>
        <color indexed="10"/>
        <rFont val="Times New Roman"/>
        <family val="1"/>
        <charset val="238"/>
      </rPr>
      <t>3</t>
    </r>
  </si>
  <si>
    <t>Rozebranie nawierzchni z kruszywa, gr. w-wy około 15 cm</t>
  </si>
  <si>
    <t>Rozebranie nawierzchni zjazdów z kruszywa, śr. gr. w-wy około 15cm. 
&lt;F=191,95m2&gt; - kruszyw  naturalne i mieszanka grunt/kruszywo - wg Tabeli nr 1</t>
  </si>
  <si>
    <t>Materiał z rozbiórki przechodzi na własność Wykonawcy. Transport materiału przez Wykonawcę na plac składowania.
&lt;V=191,95m2 x0,15m =28,79m3&gt;</t>
  </si>
  <si>
    <t>Rozebranie nawierzchni z mieszanek mineralno - bitumicznych, gr. w-wy około 5cm</t>
  </si>
  <si>
    <t>Rozebranie nawierzchni (w-wa ścieralna ) z mieszanek mineralno - bitumicznych gr. w-wy około 5cm na zjazdach..
&lt;F=38,25m2 &gt; - wg Tabeli nr 1</t>
  </si>
  <si>
    <t>Materiał z rozbiórki przechodzi na własność Wykonawcy.Transport materiału przez Wykonawcę na plac składowania.
&lt;V=38,25m2 x0,05m =1,91m3&gt;</t>
  </si>
  <si>
    <t xml:space="preserve">Rozebranie nawierzchni z kostki brukowej </t>
  </si>
  <si>
    <t>Rozebranie nawierzchni z kostki betonowej brukowej o gr. 6cm na podsypce cementowo-piaskowej o gr. 3cm na zjazdach. Materiał w części do ponownego wbudowania (odtworzenie).
&lt;F=79,6m2&gt; - wg Tabeli nr 1</t>
  </si>
  <si>
    <t>Materiał z rozbiórki stanowi własność Zamawiającego. Transport materiału przez Wykonawcę na plac składowania wskazany przez Zamawiajacego.
&lt;V=79,6m2x0,06m =4,78m3&gt;</t>
  </si>
  <si>
    <t>01.02.04.23</t>
  </si>
  <si>
    <t xml:space="preserve">Rozebranie nawierzchni z betonu </t>
  </si>
  <si>
    <t>Rozebranie nawierzchni z betonu o gr. około 10cm na podsypce cementowo-piaskowej o gr. 3cm na zjazdach. 
&lt;F=18,0m2&gt; - wg Tabeli nr 1</t>
  </si>
  <si>
    <t>Materiał z rozbiórki stanowi własność Wykonawcy. Transport materiału przez Wykonawcę na plac składowania.
&lt;V=18,0m2x0,1m =1,80m3&gt;</t>
  </si>
  <si>
    <t>01.02.04.41</t>
  </si>
  <si>
    <t xml:space="preserve">Rozebranie krawężników betonowych na ławie betonowej </t>
  </si>
  <si>
    <t>Rozebranie na zjazdach krawężników betonowych o wym.15x30cm ułożonych na płasko na podsypce cementowo-piaskowej i ławie fundamentowej.
&lt;L=10,0m&gt; - wg Tabeli nr 1</t>
  </si>
  <si>
    <t>Materiał z rozbiórki przechodzi na własność Zamawiającego.Transport materiału przez Wykonawcę na plac składowania wskazany przez Zamawiajacego.
&lt;V=0,45m3&gt;</t>
  </si>
  <si>
    <t>Rozebranie przepustów pod zjazdami z rur betonowych o śr. ø40cm</t>
  </si>
  <si>
    <r>
      <t xml:space="preserve">Rozebranie przepustów pod zjazdami z rur betonowych o średnicy </t>
    </r>
    <r>
      <rPr>
        <sz val="10"/>
        <color indexed="10"/>
        <rFont val="Czcionka tekstu podstawowego"/>
        <charset val="238"/>
      </rPr>
      <t>ø</t>
    </r>
    <r>
      <rPr>
        <sz val="10"/>
        <color indexed="10"/>
        <rFont val="Times New Roman"/>
        <family val="1"/>
        <charset val="238"/>
      </rPr>
      <t>40cm wraz z zasypką .
&lt;L=78,9m &gt;- wg Tabeli nr 1</t>
    </r>
  </si>
  <si>
    <t>12.1</t>
  </si>
  <si>
    <t>Materiał z rozbiórki stanowi własność Zamawiającego.Transport materiału przez Wykonawcę na plac składowania wskazany przez Zamawiającego.
&lt;V=5,57m3&gt;</t>
  </si>
  <si>
    <t>Rozebranie przepustów z rur żelbetonowych o śr. ø60cm</t>
  </si>
  <si>
    <t>Rozebranie części przepustu pod koroną drogi powiatowej w km 0+163,5 (P1) wraz z zasypką i ławą (podsypką).
&lt;L=1,0m - przepust o ø60cm&gt;  - wg Tabeli nr 1 i 3</t>
  </si>
  <si>
    <t>13.1</t>
  </si>
  <si>
    <t>Materiał z rozbiórki stanowi własność Zamawiającego.Transport materiału przez Wykonawcę na plac składowania wskazany przez Zamawiającego.
&lt;V=0,10m3&gt;</t>
  </si>
  <si>
    <t>Rozebranie słupka stalowego rurowego do znaku drogowego A-6B (materiał do ponownego wykorzystania).
&lt;N=1,0szt.&gt; - wg Tabeli nr 2</t>
  </si>
  <si>
    <t>Zdjęcie tabliy znaku A-6B (materiał do ponownego wykorzystania).
&lt;N=1,0szt.&gt;- wg Tabeli nr 2</t>
  </si>
  <si>
    <r>
      <t>m</t>
    </r>
    <r>
      <rPr>
        <b/>
        <vertAlign val="superscript"/>
        <sz val="10"/>
        <color indexed="10"/>
        <rFont val="Times New Roman"/>
        <family val="1"/>
        <charset val="238"/>
      </rPr>
      <t>3</t>
    </r>
  </si>
  <si>
    <t>Rozebranie ścianek czołowych przepustów pod zjazdami. Materiał z rozbiórki stanowi własność Wykonawcy. Transport materiału przez Wykonawcę na plac składowania. 
&lt;V= 6,64m3&gt;- wg Tabeli nr 1</t>
  </si>
  <si>
    <t>Wykonanie wykopów mechanicznie w gr. kat. I-V z transportem urobku w nasyp. Wykonawca zapewni miejsce składowania własnym staraniem i na własny koszt.
&lt;V=............m3&gt; - wg Tabeli nr ..........</t>
  </si>
  <si>
    <t>Wykonanie wykopów mechanicznie w gr. kat. I-V z transportem urobku na odkład. Nadmiar gruntu (grunt nieprzydatny) przechodzi na własność Wykonawcy. Wykonawca zapewni transport i miejsce składowania własnym staraniem i na własny koszt.
&lt;V=m3&gt;- wg Tabeli nr..............</t>
  </si>
  <si>
    <t>Formowanie i zagęszczanie nasypów z gruntu uzyskanego z wykopu;
&lt;V=..............m3&gt; - wg Tabeli nr ..........</t>
  </si>
  <si>
    <t xml:space="preserve">Wykonanie nasypów mechanicznie z gruntu kat. I-VI z pozyskaniem
 i transportem gruntu </t>
  </si>
  <si>
    <t>Formowanie i zagęszczanie nasypów z gruntu dostarczonego. Wykonawca pozyska grunt własnym staraniem i na własny koszt.
&lt;V=..............m3&gt; - wg Tabeli nr ..........</t>
  </si>
  <si>
    <r>
      <t>m</t>
    </r>
    <r>
      <rPr>
        <i/>
        <vertAlign val="superscript"/>
        <sz val="10"/>
        <color indexed="10"/>
        <rFont val="Times New Roman"/>
        <family val="1"/>
        <charset val="238"/>
      </rPr>
      <t>3</t>
    </r>
  </si>
  <si>
    <t>Czyszczenie przepustów z namułu o średnicy wew. 60cm</t>
  </si>
  <si>
    <t>Oczyszczenie istniejącego przepustu drogowego "P1" w km 0+163,5 pod DP.
&lt;L = 9,5m &gt; - wg rys. nr 2 Plan sytuacyjny</t>
  </si>
  <si>
    <t>Kanalizacja deszczowa (rowy kryte)</t>
  </si>
  <si>
    <t>03.02.01.28</t>
  </si>
  <si>
    <t>22.1</t>
  </si>
  <si>
    <t xml:space="preserve">Wykonanie przykanalików deszczowych z rur PP Dn200, łączonych na wcisk wraz z podłożem i obsypką z materiału sypkiego (piasek) o gr. 20cm. Wykonanie próby szczelności kanałów deszczowych Dn200.
&lt;L1=3,5+7+2,5+8,0 = 21,0m&gt; - w ciagu Kanału nr 1
&lt;L2=3+3+3+3,5=12,5m&gt; -  w ciągu Kanału nr 2A i W10
&lt;Razem: L=33,50m&gt; - wg rys. nr 2 Plan Sytuacyjny </t>
  </si>
  <si>
    <t>03.02.01.31</t>
  </si>
  <si>
    <t>Studzienki rewizyjne z gotowych elementów z tworzyw sztucznych HDPE o średnicy 800 mm z włazem szt. 1,0 w gotowym wykopie wraz z zasypaniem i podłączeniem przykanalików - studnie kompletne.
&lt;N1=2,0szt - studnia: SP1, S2 - Kanał nr 1&gt; - wg rys. nr 2 Plan Sytuacyjny
&lt;N2=4,0szt. - studnia: S12-S14 i SP15 - Kanał nr 2A&gt; - wg rys. nr 2 Plan Sytuacyjny
&lt;Razem: N=6,0szt.&gt;</t>
  </si>
  <si>
    <t>03.02.01.33</t>
  </si>
  <si>
    <t>Wykonanie studni kanalizacyjnej połączeniowej ø200cm (SP3) z kręgów żelbetowych z włazem żeliwnym i schodkami, na ławie z betonu C35/45 gr. 30cm. Studnia na wylocie przepustu "P1" w km 0+163,5 w gotowym wykopie z zasypaniem i podłączeniem kanałów - (studnia kompletna). 
&lt;N=1,0szt - studnia SP3 w km 0+163,5&gt;- wg rys. nr 2 Plan Sytuacyjny</t>
  </si>
  <si>
    <t>Wykonanie studzienek ściekowych ulicznych z tworzyw sztucznych PE o średnicy 415 mm, bezosadnikowa z kratą żeliwną (kraty ściekowe krawężnikowo - jezdniowe), na ławie z betonu C 12/15, gr. 20 cm, wraz z wykonaniem wykopu i zasypaniem - studnie kompletne.
&lt;N1=4,0szt - Kanał nr 1&gt; - wg rys. nr 2 Plan Sytuacyjny
&lt;N2=4,0szt. - Kanał nr 2A i SP15&gt; - wg rys. nr 2 Plan Sytuacyjny
&lt;Razem: N=8,0szt.&gt;</t>
  </si>
  <si>
    <t>do sprawdzenia</t>
  </si>
  <si>
    <t>Wykonanie warstwy odcinającej z piasku, gr. w-wy po zagęszczeniu 10cm</t>
  </si>
  <si>
    <t>do spraw</t>
  </si>
  <si>
    <t>Oczyszcznie  warstw konstrukcyjnych nieulepszonych mechanicznie</t>
  </si>
  <si>
    <t>04.03.01.12</t>
  </si>
  <si>
    <t>Oczyszczenie warstwy podbudowy z kruszywa łamanego 0/63mm stabilizowanego mechanicznie o gr. 20cm na poszerzeniu pasa ruchu DP oraz warstwy podbudowy z kruszywa naturalnego stabilizowanego cementem o gr.20cm na zjazdach poza chodnikiem.
&lt;F1=114+89,2=203,20m2&gt; - poszerzenie pasa ruchu DP
&lt;F2=135,91+85,51 = 221,42m2&gt;  - zjazdy poza chodnikiem
&lt;Razem: F=424,62m2&gt;</t>
  </si>
  <si>
    <t>Oczyszcznie  warstw konstrukcyjnych ulepszonych mechanicznie</t>
  </si>
  <si>
    <t>Oczyszczenie warstwy konstrukcyjnej ulepszonej w postaci  warstwy wiążącej gr. 6cm z betonu asfaltowego AC 0/16mm na poszerzeniu pasa ruchu  DP.
&lt;F=114,0+89,2=203,20m2&gt; - poszerzenie pasa ruchu DP</t>
  </si>
  <si>
    <t>Skropienie warstwy podbudowy z kruszywa łamanego 0/63mm stabilizowanego mechanicznie o gr. 20cm na poszerzeniu pasa ruchu DP oraz warstwy podbudowy z kruszywa naturalnego stabilizowanego cementem o gr.20cm na zjazdach poza chodnikiem.
&lt;F1=114+89,2=203,20m2&gt; - poszerzenie pasa ruchu DP
&lt;F2=135,91+85,51 = 221,42m2&gt;  - zjazdy poza chodnikiem
&lt;Razem: F=424,62m2&gt;</t>
  </si>
  <si>
    <t>Skropienie warstwy konstrukcyjnej ulepszonej w postaci  warstwy wiążącej gr. 6cm z betonu asfaltowego AC 0/16mm na poszerzeniu pasa ruchu  DP.
&lt;F=114,0+89,2=203,20m2&gt; - poszerzenie pasa ruchu DP</t>
  </si>
  <si>
    <t>04.04.02.24</t>
  </si>
  <si>
    <t>Wykonanie podbudowy z kruszywa łamanego 0/63mm stabilizowanego mechanicznie, gr. w-wy 20cm</t>
  </si>
  <si>
    <t>Wykonanie podbudowy z kruszywa łamanego 0/63mm stabilizowanego mechanicznie, gr. w-wy20cm na poszerzeniu pasa ruchu DP
&lt;F=114+89,2=203,20m2&gt;  - wg rys. nr 2 Plan sytuacyjny</t>
  </si>
  <si>
    <t>Podbudowy z kruszywa stabilizowanego cementem</t>
  </si>
  <si>
    <t>Wykonanie podbudowy z kruszywa naturalnego stabilizowanego cementem, gr. w-wy 15cm, Rm=1,5Mpa</t>
  </si>
  <si>
    <t>04.04.02.11</t>
  </si>
  <si>
    <t>Wykonanie podbudowy z kruszywa łamanego 0/63mm stabilizowanego mechanicznie, gr. w-wy 15cm</t>
  </si>
  <si>
    <t>04.05.01.42</t>
  </si>
  <si>
    <t>Wykonanie podbudowy z kruszywa naturalnego stabilizowanego cementem, gr. w-wy 20cm, Rm=2,5Mpa</t>
  </si>
  <si>
    <t>Wykonanie podbudowy z kruszywa naturalnego stabilizowanego cementem Rm=2,5MPa, o gr. w-wy 20cm na jazdach poza chodnikiem i na poszerzeniu pasa ruchu DP.
&lt;F1 = 135,91+85,51=221,42m2&gt; - zjazdy - wg tabeli nr 1
&lt;F2 = (114+89,2)*1,32=268,22m2&gt; - poszerzenie pasa ruchu DP
&lt;Razem: F=489,64m2 &gt;</t>
  </si>
  <si>
    <t>Wykonanie nawierzchni z betonu asfaltowego AC warstwa wiążąca,  gr. w-wy 6 cm</t>
  </si>
  <si>
    <t>Wykonanie nawierzchni z betonu asfaltowego AC 16W, warstwa wiążąca,  gr. w-wy 6 cm na  poszerzeniu pasu ruchu DP.
&lt;F=114+89,2=203,2m2&gt; - wg. rys. nr 2 Plan Sytuacyjny</t>
  </si>
  <si>
    <t>do spraw bo frezowanie</t>
  </si>
  <si>
    <t>Wykonanie nawierzchni z betonu asfaltowego AC 11S, warstwa ścieralna, gr. w-wy 5 cm na zjazdach poza chodnikiem.
&lt;F = 121,4+76,35 = 197,75m2&gt; - wg Tabeli nr 1</t>
  </si>
  <si>
    <t>Humusowanie z obsianiem skarp przy grubości humusu 10 cm. Humus uprzednio usunięty i zmagazynowany przez Wykonawcę.  Wykonawca pozyska  nasiona traw własnym staraniem i na własny koszt.
&lt;F=..................m2&gt; - wg. Tabeli nr ...................</t>
  </si>
  <si>
    <t>Plantowanie powierzchni (obrobienie na czysto) skarp wykonywanych ręcznie w gruncie nieskalistym.
&lt;F=.....m2&gt; - w ciągu DP</t>
  </si>
  <si>
    <t xml:space="preserve">Wykonanie poboczy </t>
  </si>
  <si>
    <t>06.03.02</t>
  </si>
  <si>
    <t>Wykonanie poboczy gruntowych o szer. 0,5m
[m2]</t>
  </si>
  <si>
    <t>Wykonanie poboczy gruntowych na zjazdach</t>
  </si>
  <si>
    <t>Wykonanie poboczy gruntowych na zjazdach poza chodnikiem. Szerokość min. poboczy 0,5m.
&lt;F==25,9+19,5=45,40m2&gt; - wg Tabeli nr 1</t>
  </si>
  <si>
    <t>08.01.01.21</t>
  </si>
  <si>
    <t>Ustawienie krawężników betonowych o wymiarach 15x30cm na ławie betonowej z oporem</t>
  </si>
  <si>
    <t>ROZBUDOWA DROGI POWIATOWEJ NR 1358R UL. KS. STEFANA WYSZYŃSKIEGO W MIEJSCOWOŚCI ROPCZYCE  W ZWIĄZKU Z BUDOWĄ CHODNIKA DLA PIESZYCHI OD KM 0+205,0 DO KM 0+257,4 WRAZ Z KANALIZACJĄ DESZCZOWĄ ORAZ PRZEBUDOWĄ SIECI UZBROJENIA TERENU</t>
  </si>
  <si>
    <t>Wykonanie wyznaczenia granic pasa drogowego (I.P.D.  i P.P.D.) w terenie wraz z wyniesieniem i zastabilizowaniem słupkami PD.</t>
  </si>
  <si>
    <t>Odcinek DP od km (lok) 0+000,0 do km 0+205,0 oraz od km 0+257,0 do km 0+452,0 wraz z wytyczeniem wszystkich punktów projektowanego chodnika, elementów odwodnienia (kanalizacji deszczowej i istn. przepustów) oraz istniejących sieci uzbrojenia terenu, itd. - kompletna obsługa geodezyjna inwestycji 
&lt;L=0,40km&gt; - w ciągu DP</t>
  </si>
  <si>
    <r>
      <t xml:space="preserve">Wykonanie kanalizacji deszczowej  (rów kryty) - kolektor z rur polipropylenowych PP, dwuściennych o śr. wew.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400 wraz z wykonaniem podsypki i obsypki z piasku o gr. min. 20cm</t>
    </r>
  </si>
  <si>
    <r>
      <t xml:space="preserve">Wykonanie kanału z rur typu PP, dwuściennych o średnicy wewnętrznej 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 xml:space="preserve"> 400, łączone na wcisk wraz z wykonaniem podsypki i obsypki z piasku o gr. min. 20cm
&lt;L1==46+31+45=122,0m&gt; - Kanał nr 1;
&lt;L2==38+41+43=122,0m&gt; - Kanał nr 2A
&lt;Razem: L=244,0m&gt; - wg rys. nr 2 Plan sytuacyjny i nr 4 Profil podłużny</t>
    </r>
  </si>
  <si>
    <r>
      <t xml:space="preserve">&lt;próba szczelności kanałów rurowych, kanał </t>
    </r>
    <r>
      <rPr>
        <i/>
        <sz val="10"/>
        <rFont val="Czcionka tekstu podstawowego"/>
        <charset val="238"/>
      </rPr>
      <t>ø</t>
    </r>
    <r>
      <rPr>
        <i/>
        <sz val="10"/>
        <rFont val="Times New Roman"/>
        <family val="1"/>
        <charset val="238"/>
      </rPr>
      <t>·400·mm&gt;</t>
    </r>
  </si>
  <si>
    <r>
      <t xml:space="preserve">Wykonanie studni kanalizacyjnych przelotowych i połączeniowych z tworzyw sztucznych HDPE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80cm w gotowym wykopie</t>
    </r>
  </si>
  <si>
    <r>
      <t xml:space="preserve">Wykonanie studni kanalizacyjnej połączeniowej żelbetowej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200cm w gotowym wykopie</t>
    </r>
  </si>
  <si>
    <t>Odcinek DP od km (lok) 0+200,0 do km 0+260,0 wraz z wytyczeniem wszystkich punktów projektowanego chodnika, elementów odwodnienia (kanalizacji deszczowej i wylotów) oraz istniejących sieci uzbrojenia terenu, itd. - kompletna obsługa geodezyjna inwestycji.
&lt;L=0,06km&gt; - w ciągu DP</t>
  </si>
  <si>
    <t>Karczowanie drzew o średnicy 10-35cm wraz z usunieciem (zniszczeniem) karpiny, wywozem gałęzi i dłużyc oraz zasypaniem dołów. Dłużyce i gałęzie pozostają własnością Zamawiającego, należy je przewieźć na miejsce wskazane przez Zamawiajacego.
&lt;N=..........szt.&gt;</t>
  </si>
  <si>
    <t>Karczowanie krzaków (samosiewy)  i krzewów ozdobnych wraz z usunięciem (zniszczeniem) karpiny, drągowiny i gałęzi. Materiał z karczowania stanowi własnośc Wykonawcy robót.
&lt;F=.............m2&gt;</t>
  </si>
  <si>
    <t>Mechaniczne usunięcie warstwy urodzajnej (humusu) gr. w-wy 25cm  ze złożeniem na placu Wykonawcy. Humus do późniejszego wykorzystania (proj. grubość humusu 10cm) . Miejsce składowania zapewnia Wykonawca. Średnia grubość w-wy darniny 10cm. Darnina przechodzi na własność Wykonawcy.
&lt;F= ..............m2&gt; - wg Tabeli nr ..........&gt;</t>
  </si>
  <si>
    <r>
      <t xml:space="preserve">Wykonanie kanalizacji deszczowej  - kolektor z rur polipropylenowych PP, dwuściennych o śr. wew.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400 wraz z wykonaniem podsypki i obsypki z piasku o gr. min. 20cm</t>
    </r>
  </si>
  <si>
    <r>
      <t xml:space="preserve">Wykonanie kanału z rur typu PP, dwuściennych o średnicy wewnętrznej 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 xml:space="preserve"> 400, łączone na wcisk wraz z wykonaniem podsypki i obsypki z piasku o gr. min. 20cm
&lt;L=21+30=51,0m&gt; - Kanał nr 2B - wg rys. nr 2 Plan sytuacyjny i nr 4 Profil podłużny</t>
    </r>
  </si>
  <si>
    <r>
      <t xml:space="preserve">Wykonanie kanalizacji deszczowej  - kolektor z rur polipropylenowych PP, dwuściennych o śr. wew.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600 wraz z wykonaniem podsypki i obsypki z piasku o gr. min. 20cm</t>
    </r>
  </si>
  <si>
    <t>03.02.01.29</t>
  </si>
  <si>
    <r>
      <t xml:space="preserve">&lt;próba szczelności kanałów rurowych, kanał </t>
    </r>
    <r>
      <rPr>
        <i/>
        <sz val="10"/>
        <rFont val="Czcionka tekstu podstawowego"/>
        <charset val="238"/>
      </rPr>
      <t>ø</t>
    </r>
    <r>
      <rPr>
        <i/>
        <sz val="10"/>
        <rFont val="Times New Roman"/>
        <family val="1"/>
        <charset val="238"/>
      </rPr>
      <t>·600·mm&gt;</t>
    </r>
  </si>
  <si>
    <t>sprawdzić</t>
  </si>
  <si>
    <t>sprawdzic</t>
  </si>
  <si>
    <r>
      <t xml:space="preserve">Wykonanie kanału z rur typu PP, dwuściennych o średnicy wewnętrznej 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 xml:space="preserve"> 600, łączone na wcisk wraz z wykonaniem podsypki i obsypki z piasku o gr. min. 25cm
&lt;L=48,5+48,5+48,5+23+33+33=234,50m&gt; - Kanał nr 3 - wg rys. nr 2 Plan sytuacyjny i nr 4 Profil podłużny</t>
    </r>
  </si>
  <si>
    <t>&lt;podłoża pod kanały z materiałów sypkich - piasku, grubość 25·cm, średnio: 0,18m2x1,0m&gt;</t>
  </si>
  <si>
    <t>&lt;obsypki 25cm ponad wierzch rury z kruszyw naturalnych - piasek, średnio: 1,0x(1,5x0,85-3,14x0,325x0,325)&gt;</t>
  </si>
  <si>
    <t xml:space="preserve">Wykonanie przykanalików deszczowych z rur PP Dn200, łączonych na wcisk wraz z podłożem i obsypką z materiału sypkiego (piasek) o gr. 20cm. Wykonanie próby szczelności kanałów deszczowych Dn200.
&lt;L=3,0+3,0=6,0m &gt; - w ciagu Kanału nr 2B - wg rys. nr 2 Plan Sytuacyjny </t>
  </si>
  <si>
    <t>Studzienki rewizyjne z gotowych elementów z tworzyw sztucznych HDPE o średnicy 800 mm z włazem szt. 1,0 w gotowym wykopie wraz z zasypaniem i podłączeniem przykanalików - studnie kompletne.
&lt;N=2,0szt &gt;- studnia: S10, S11 - Kanał nr 2B&gt; - wg rys. nr 2 Plan Sytuacyjny</t>
  </si>
  <si>
    <r>
      <t xml:space="preserve">Wykonanie studni kanalizacyjnych przelotowych żelbetowych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100cm w gotowym wykopie</t>
    </r>
  </si>
  <si>
    <t>Wykonanie studni kanalizacyjnych przelotowych ø100cm (S5-S9) z kręgów żelbetonowych  z włazem żeliwnym i schodkami, na ławie z betonu C 35/45 gr. 30 cm, w gotowym wykopie  i zasypaniem oraz podłączeniem kanałów - studnie kompletne.
&lt;N=5,0szt &gt; - Kanał nr 3 - wg rys. nr 2 Plan Sytuacyjny</t>
  </si>
  <si>
    <t>Wykonanie studni kanalizacyjnej połączeniowej ø200cm (SP4) z kręgów żelbetowych z włazem żeliwnym i schodkami, na ławie z betonu C35/45 gr. 30cm, w gotowym wykopie, z zasypaniem i podłączeniem kanałów - studnia kompletna. 
&lt;N=1,0szt&gt;- Kanał nr 3 i 2B - wg rys. nr 2 Plan Sytuacyjny</t>
  </si>
  <si>
    <t>Wykonanie studzienek ściekowych ulicznych (W5-W6) z tworzyw sztucznych PE o średnicy 415 mm, bezosadnikowa z kratą żeliwną (kraty ściekowe krawężnikowo - jezdniowe), na ławie z betonu C 12/15, gr. 20 cm, w gotowym wykopie oraz wraz z zasypaniem - studnie kompletne.
&lt;N=2,0szt.&gt; - Kanał nr 2B&gt; - wg rys. nr 2 Plan Sytuacyjny</t>
  </si>
  <si>
    <t>Wykonanie koryta pod konstrukcję poszerzenia pasa ruchu jezdni DP (szerokość pasa ruchu od strony chodnika 3,0m) i pod konstrukcję chodnika wraz z profilowaniem i zagęszczaniem podłoża w gr. kat. I-VI. Średnia głębokość koryta około 55cm.
&lt;F=126,0m2&gt;- odcinek od km 0+205,0 do km 0+257,4  - wg Tabeli nr ............</t>
  </si>
  <si>
    <t>Wykonanie warstwy z piasku stabilizowanej mechanicznie na chodniku dla pieszych "na szlaku", na zjazdach indywidualnych i poszerzeniu pasu ruchu DP, gr. w-wy po zagęszczeniu 10cm.
&lt;F1= 26,4m2&gt;  - poszerzenie pasa ruchu DP
&lt;F2= 88,5+5,0 = 93,5m2&gt; - chodnik na szlaku
&lt;F3= 26,64m2&gt; - chodnik na zjazdach i zjazdy poza chodnikiem
&lt;Razem: F=146,54m2&gt; - wg Tabeli nr ..........</t>
  </si>
  <si>
    <t>Oczyszczenie warstwy podbudowy z kruszywa łamanego 0/63mm stabilizowanego mechanicznie o gr. 20cm na poszerzeniu pasa ruchu DP oraz warstwy podbudowy z kruszywa naturalnego stabilizowanego cementem o gr.20cm na zjazdach poza chodnikiem.
&lt;F1=20,0m2&gt; - poszerzenie pasa ruchu DP
&lt;F2=13,44m2&gt;  - zjazdy poza chodnikiem
&lt;Razem: F=33,44m2&gt;</t>
  </si>
  <si>
    <t>Oczyszczenie warstwy konstrukcyjnej ulepszonej w postaci  warstwy wiążącej gr. 6cm z betonu asfaltowego AC 0/16mm na poszerzeniu pasa ruchu  DP.
&lt;F=20,0m2&gt; - poszerzenie pasa ruchu DP</t>
  </si>
  <si>
    <t>Skropienie warstwy podbudowy z kruszywa łamanego 0/63mm stabilizowanego mechanicznie o gr. 20cm na poszerzeniu pasa ruchu DP oraz warstwy podbudowy z kruszywa naturalnego stabilizowanego cementem o gr.20cm na zjazdach poza chodnikiem.
&lt;F1=20,0m2&gt; - poszerzenie pasa ruchu DP
&lt;F2=13,44m2&gt;  - zjazdy poza chodnikiem
&lt;Razem: F=33,44m2&gt;</t>
  </si>
  <si>
    <t>Skropienie warstwy konstrukcyjnej ulepszonej w postaci  warstwy wiążącej gr. 6cm z betonu asfaltowego AC 0/16mm na poszerzeniu pasa ruchu  DP.
&lt;F=20,0m2&gt; - poszerzenie pasa ruchu DP</t>
  </si>
  <si>
    <t>Wykonanie w-wy podbudowy z kruszywa łamanego 0/63mm stabilizowanego mechanicznie o gr. 15cm na chodniku na szlaku (poza zjazdami).
&lt;F= 94,00m2&gt; - wg rys. nr 2 Plan sytuacyjny</t>
  </si>
  <si>
    <t>Wykonanie podbudowy z kruszywa łamanego 0/63mm stabilizowanego mechanicznie, gr. w-wy20cm na poszerzeniu pasa ruchu DP
&lt;F=20,0m2&gt;  - wg rys. nr 2 Plan sytuacyjny</t>
  </si>
  <si>
    <t>Wykonanie podbudowy z kruszywa naturalnego stabilizowanego cementem Rm=1,5MPa, o gr. w-wy 15cm na chodniku dla pieszych na zjazdach.
&lt;F=10,8&gt;- wg tabeli nr 1</t>
  </si>
  <si>
    <t>Wykonanie podbudowy z kruszywa naturalnego stabilizowanego cementem Rm=2,5MPa, o gr. w-wy 20cm na jazdach poza chodnikiem i na poszerzeniu pasa ruchu DP.
&lt;F1 =13,44 m2&gt; - zjazdy - wg tabeli nr 1
&lt;F2 =26,4m2&gt; - poszerzenie pasa ruchu DP
&lt;Razem: F=39,84m2 &gt;</t>
  </si>
  <si>
    <t>Wykonanie nawierzchni z betonu asfaltowego AC 16W, warstwa wiążąca,  gr. w-wy 6 cm na  poszerzeniu pasu ruchu DP.
&lt;F=52,5m2&gt; - wg. rys. nr 2 Plan Sytuacyjny</t>
  </si>
  <si>
    <t>Wykonanie nawierzchni z betonu asfaltowego AC 11S, warstwa ścieralna, gr. w-wy 
4 cm na poszerzeniu pasa ruchu DP.
&lt;F=52,5m2&gt; - wg. rys. nr 2 Plan Sytuacyjny</t>
  </si>
  <si>
    <t>Wykonanie nawierzchni z betonu asfaltowego AC 11S, warstwa ścieralna, gr. w-wy 5 cm na zjazdach poza chodnikiem.
&lt;F = 12,0m2&gt; - wg Tabeli nr 1</t>
  </si>
  <si>
    <t>Wykonanie frezowania nawierzchni asfaltowych na zimno: śr. gr. około 7cm na poszerzeniu jezdni DP (schodkowanie nawierzchni).
&lt;F =26,25m2&gt; - wg. rys. nr 2 Plan Sytuacyjny</t>
  </si>
  <si>
    <t>Cięcie piłą nawierzchni bitumicznych na gł. 5-10cm na schodkowaniach przy poszerzeniu jezdni DP (od strony poszerzenia pasa ruchu)
&lt;L=52,5m&gt; - w ciągu DP</t>
  </si>
  <si>
    <t>Materiał z frezowania stanowi własność Zamawiającego. Transport materiału przez Wykonawcę na plac składowania wskazany przez Zamawiajacego.
&lt;V=1,84m3&gt;</t>
  </si>
  <si>
    <t>Ułożenie warstwy wzmacniającej z geosiatki (wytrzymałość długotrwała w obu kierunkach  100kN/m i e &lt;=3%) na poszerzeniach jezdni DP.
&lt;F=52,5m2&gt;  - wg rys. 3 Przekroje Typowe</t>
  </si>
  <si>
    <t>31.1</t>
  </si>
  <si>
    <t>Wykonanie poboczy gruntowych na zjazdach poza chodnikiem. Szerokość min. poboczy 0,5m.
&lt;F=2,0m2&gt; - wg Tabeli nr 1</t>
  </si>
  <si>
    <t>Wykonanie obudowy wylotów kolektorów</t>
  </si>
  <si>
    <t>03.02.01.61</t>
  </si>
  <si>
    <t>Wykonanie żelbetowego wylotu kolektora PP ø 600 (WL1) na skarpie koryta rz. Wielopolka. Wylot z klapą zwrotna, zgodnie z rysunkiem szczegółu nr ...- analogia do rozwiązań KPED karta 02.16. - Wylot kompletny.
&lt;N=1,0szt &gt; - wg rys. nr 2 Plan Sytuacyjny i szczegółu nr  .......</t>
  </si>
  <si>
    <t>31.2</t>
  </si>
  <si>
    <t>33.1</t>
  </si>
  <si>
    <t>06.01.01.43</t>
  </si>
  <si>
    <t>Wykonanie umocnienia skarp płytami prefabrykowanymi ażurowymi o gr. 10cm na podsypce cementowo - piaskowej</t>
  </si>
  <si>
    <t>Wykonanie umocnienia skarp płytami ażurowymi o gr. 10cm na podsypce cementowo - piaskowej 1:4 o gr. 5cm w obrębie żelbetowego wylotu  (WL1) kanalizacji deszczowej na skarpie rz. Wielopolka.
&lt;F=...m2&gt;- wg rys. 2 Plan sytuacyjny</t>
  </si>
  <si>
    <t xml:space="preserve">Plantowanie powierzchni (obrobienie na czysto) skarp wykonywanych ręcznie w gruncie nieskalistym.
&lt;F=.....m2&gt; - w ciągu DP i w obrębie wylotu (WL1) kanalizacji deszczowej </t>
  </si>
  <si>
    <t>Doprowadzenie terenu do stanu pierwotnego oraz oświadczenia stron o przejęciu terenów przyległych do budowy i dzierżawionych/zajmowanych przez Wykonawcę  robót o doprowadzeniu do stanu umożliwiającego użytkowanie zgodnie z ich pierwotnym przeznaczeniem</t>
  </si>
  <si>
    <t>Ustawienie krawężników betonowych o wymiarach 15x30 cm  (odsłonięcie 4cm i 12cm) na podsypce cementowo-piaskowej 1:4 o grubości 5cm i na  ławie betonowej C12/15 gr. 15cm z oporem o V=0,082 m3/mb
&lt;L= 53,0,0m&gt;  - wg Szczegółu nr ...........</t>
  </si>
  <si>
    <t>Wykonanie chodnika "na szlaku" z kostki brukowej betonowej szarej o grubości 6cm na podsypce cementowo - piaskowej 1:4 o grubości 3cm, spoiny wypeł. piaskiem - w tym wyznaczenie opaski bezpieczeństwa 2- rzędami kostki kolorowej (np. czerwonej) na długości chodnika (50cm od lica krawężnika).
&lt;F= 93,0m2&gt; - wg rys. nr 2 Plan sytuacyjny i  rys. nr 3 Przekroje typowe</t>
  </si>
  <si>
    <t xml:space="preserve">Wykonanie chodnika na zjazdach z kostki brukowej betonowej kolorowej (np. czerwonej) o grubości 8cm na podsypce cementowo - piaskowej 1:4 o grubości 3cm, spoiny wypeł. Piaskiem.
&lt;F=10,8m2&gt; - wg Tabeli nr 1
</t>
  </si>
  <si>
    <t>Ustawienie obrzeży betonowych o wymiarach 30x8cm na podsypce cementowo-piaskowej 1:4 o grubości 3cm i ławie betonowej C12/15, gr. 10cm o V=0,024m3/m
&lt;L= 53,0m &gt; - wg Szczegółu nr 1.1</t>
  </si>
  <si>
    <t>REMONT CHODNIKA DLA PIESZYCH  W CIĄGU DP (ROBOTY DROGOWE)</t>
  </si>
  <si>
    <r>
      <t>m</t>
    </r>
    <r>
      <rPr>
        <b/>
        <vertAlign val="superscript"/>
        <sz val="10"/>
        <color indexed="10"/>
        <rFont val="Times New Roman"/>
        <family val="1"/>
        <charset val="238"/>
      </rPr>
      <t>2</t>
    </r>
  </si>
  <si>
    <r>
      <t>m</t>
    </r>
    <r>
      <rPr>
        <vertAlign val="superscript"/>
        <sz val="10"/>
        <color indexed="10"/>
        <rFont val="Times New Roman"/>
        <family val="1"/>
        <charset val="238"/>
      </rPr>
      <t>2</t>
    </r>
  </si>
  <si>
    <t xml:space="preserve">Rozbiórka i powtórny montaż znaków D-1 i D-6 (tablice i słupek stalowy) </t>
  </si>
  <si>
    <t>Rzobiórka tablicy adresowej
 "ul. Wyszyńskiego"
 na słupku stalowym</t>
  </si>
  <si>
    <t xml:space="preserve">Rozbiórka i powtórny montaż znaku B -1 wraz z tabliczką "nie dotyczy mieszkańców" (tablice i słupek stalowy) </t>
  </si>
  <si>
    <t>Wykonanie nawierzchni z betonu asfaltowego AC warstwa wiążąca,  gr. w-wy 4 cm</t>
  </si>
  <si>
    <t>Wykonanie warstwy odcinającej z piasku, gr. w-wy po zagęszczeniu 15cm</t>
  </si>
  <si>
    <t>Zdjęcie tablic znaków (materiał do ponownego wykorzystania).
&lt;N=5,0szt.&gt;- wg Tabeli nr 2</t>
  </si>
  <si>
    <t>Wykonanie nawierzchni z tłucznia kamiennego o gr. 15cm na zjazdach indywidualnych  
&lt;F=14,01m2- zjazd ZW0 w km 13+786,0&gt; - w ciągu DW
&lt;Razem: F=42,07m2&gt;</t>
  </si>
  <si>
    <t>Oczyszczenie rowów i elementów urządzeń odwodnienia drogi</t>
  </si>
  <si>
    <t>Ustawienie słupów z rury stalowej dla znaków drogowych i tablicy adresowej materiał z rozbiórki (z odzysku). 
&lt;N=3,0szt.&gt; - wg. Tabeli nr 2</t>
  </si>
  <si>
    <t>Przymocowanie tablicy adresowej i tarcz znaków drogowych do słupków stalowych- matariał z rozbiórki (z oddzysku). 
&lt;N=5,0szt.&gt; - wg. Tabeli nr 2</t>
  </si>
  <si>
    <t xml:space="preserve">Rodzaj istn. nawierzchni na zjeździe
</t>
  </si>
  <si>
    <t>bitumiczna</t>
  </si>
  <si>
    <t>Kilometraż</t>
  </si>
  <si>
    <t>Długość zjazdu po przebudowie</t>
  </si>
  <si>
    <t>kostka brukowa</t>
  </si>
  <si>
    <t>0+158,7</t>
  </si>
  <si>
    <t>0+177,50</t>
  </si>
  <si>
    <t>0+195,8</t>
  </si>
  <si>
    <t>0+216,9</t>
  </si>
  <si>
    <t>zjazd publiczny</t>
  </si>
  <si>
    <t>0+302,5</t>
  </si>
  <si>
    <t>0+240,0</t>
  </si>
  <si>
    <t>0+274,0</t>
  </si>
  <si>
    <t>0+320,3</t>
  </si>
  <si>
    <t>Zastąpienie instniejących dwóch zjazdów zaniżonym odcinkiem kraweznika - przejazd przez chodnik do istn. parkingu przy restauracji/pizzeri.</t>
  </si>
  <si>
    <t>0+337,40</t>
  </si>
  <si>
    <t>ZP10</t>
  </si>
  <si>
    <t>ZP11</t>
  </si>
  <si>
    <t>0+441,20</t>
  </si>
  <si>
    <t>0+453,9</t>
  </si>
  <si>
    <t>0+467,0</t>
  </si>
  <si>
    <t>0+483,9</t>
  </si>
  <si>
    <t>ZI20</t>
  </si>
  <si>
    <t>0+487,8</t>
  </si>
  <si>
    <t>ZI21</t>
  </si>
  <si>
    <t xml:space="preserve">zjazd indywidualny </t>
  </si>
  <si>
    <t>0+505,2</t>
  </si>
  <si>
    <t>S1</t>
  </si>
  <si>
    <t>skrzyżowanie z ul. Wierzbowe Miasto</t>
  </si>
  <si>
    <t>PROJEKTOWANA NAWIERZCHNIA 
(W-WA ŚCIERALNA)</t>
  </si>
  <si>
    <t>Razem rozbiórka naw. bitumicznej</t>
  </si>
  <si>
    <t>Razem wykonanie nawierzchni bitumicznej</t>
  </si>
  <si>
    <t>Razem wykonanie nawierzchni z  kostki betonowej</t>
  </si>
  <si>
    <t>Rozebranie nawierzchni (w-wa ścieralna ) z mieszanek mineralno - bitumicznych gr. w-wy około 5cm na zjazdach.
&lt;F=105,90m2 &gt; - wg Tabeli nr 1</t>
  </si>
  <si>
    <t>Materiał z rozbiórki przechodzi na własność Wykonawcy.Transport i utylizacja materiału przez Wykonawcę.
&lt;V=105,9m2 x0,05m =5,30m3&gt;</t>
  </si>
  <si>
    <t>Rozebranie słupków stalowych rurowych do znaków drogowych (materiał do ponownego wykorzystania).
&lt;N=3,0szt.&gt; - wg Tabeli nr 2</t>
  </si>
  <si>
    <t xml:space="preserve">Rozebranie krawężników i obrzeży betonowych na ławie betonowej </t>
  </si>
  <si>
    <t xml:space="preserve">Ul. Ks. Kard. Stefana Wyszyńskiego od km 0+033,9 do km 0+349,5 oraz od km 431,2 do km 514,0 </t>
  </si>
  <si>
    <t>Wykonanie koryta pod konstrukcję chodnika lewostronnego (odcinek długości ok 10m od skrzyżowania z ul. Marszałka Piłsudskiego) wraz z profilowaniem i zagęszczaniem podłoża w gr. kat. I-VI. Średnia głębokość koryta około 20cm.
&lt;F=20,0m2&gt;- odcinek od km 0+033,9 do km 0+044,0</t>
  </si>
  <si>
    <t>Rozebranie podbudowy z kruszywa/istn konstrukcji chodnika o gr. w-wy około 25 cm - istniejąca konstrukcja na chodniku,  zjazdach indywidualnych i publicznych.
&lt; F=624,29m2&gt; - wg Tabeli nr 1</t>
  </si>
  <si>
    <t>Materiał z rozbiórki zakwalifikowany jako przydatny przechodzi na własność Zamawiającego. Materiał nieprzydatny podlega utylizacji przez Wykonawcę. Transport materiału przydatnego przez Wykonawcę na plac składowania wskazany przez Zamawiajacego.
&lt;V=624,29m2 x0,20m =124,86m3&gt;</t>
  </si>
  <si>
    <t>Materiał z rozbiórki zakwalifikowany jako przydatny przechodzi na własność Zamawiającego. Materiał nieprzydatny podlega utylizacji przez Wykonawcę. Transport materiału przydatnego przez Wykonawcę na plac składowania wskazany przez Zamawiajacego.
&lt;V=624,29m2x0,06m =37,46m3&gt;</t>
  </si>
  <si>
    <t>Materiał z rozbiórki zakwalifikowany jako przydatny przechodzi na własność Zamawiającego. Materiał nieprzydatny podlega utylizacji przez Wykonawcę. Transport materiału przydatnego przez Wykonawcę na plac składowania wskazany przez Zamawiajacego.
&lt;V=32,09m3&gt;</t>
  </si>
  <si>
    <t>Rozebranie elementów obramowania istn. chodnika tj. krawężników betonowych o wym. 15 x 30cm ułożonych na podsypce cementowo-piaskowej i ławie fundamentowej oraz obrzeży owymiarach 6 x 20cm i 8 x 30cm na podsypce i ławie fundamentowej.
&lt;L1=393m&gt; długość krawężników
&lt;L2=320m&gt; długość obrzeża
&lt;Razem L=393+320=713m&gt;</t>
  </si>
  <si>
    <t>Nawierzchnia z betonu asfaltowego AC11S o gr. 4cm
[m2]</t>
  </si>
  <si>
    <t>kpl.</t>
  </si>
  <si>
    <t xml:space="preserve">Wykonanie w-wy podbudowy z kruszywa łamanego 0/63mm stabilizowanego mechanicznie o gr. 15cm na chodniku na szlaku (poza zjazdami).
&lt;F= 520,84m2&gt; </t>
  </si>
  <si>
    <t>Udrożnienie urządzeń odwadniających ul. Wyszyńskiego poprzez oczyszczenie skarp i odmulenie dna rowu otwartego, studzienek kanalizycyjnych oraz przepustów pod korpusem ul. Wyszyńskiego w zależności od potrzeb wg. wskazań Inspektora Nadzoru / Inwestora</t>
  </si>
  <si>
    <t xml:space="preserve">Ustawienie krawężników betonowych o wymiarach 15x30 cm  (odsłonięcie 4cm i 12cm) na podsypce cementowo-piaskowej 1:4 o grubości 5cm i na  ławie betonowej C12/15 gr. 15cm z oporem o V=0,082 m3/mb
&lt;L= 445,0m&gt; </t>
  </si>
  <si>
    <t>Wykonanie chodnika "na szlaku" z kostki brukowej betonowej szarej o grubości 6cm na podsypce cementowo - piaskowej 1:4 o grubości 3cm, spoiny wypeł. piaskiem - w tym wyznaczenie opaski bezpieczeństwa 2- rzędami kostki kolorowej (np. czerwonej) na długości chodnika.
&lt;F=520,84m2&gt;</t>
  </si>
  <si>
    <t>Wykonanie podbudowy z kruszywa naturalnego stabilizowanego cementem Rm=1,5MPa, o gr. w-wy 15cm na chodniku dla pieszych na zjazdach.
&lt;F=192,71m2&gt;- wg tabeli nr 1</t>
  </si>
  <si>
    <t>Wykonanie warstwy z piasku stabilizowanej mechanicznie na chodniku dla pieszych "na szlaku", na zjazdach indywidualnych i publicznych, gr. w-wy po zagęszczeniu 15cm.
&lt;F1= 520,84m2&gt;  - chodnik na szlaku
&lt;F2= 192,71m2&gt; -  chodnik na zjazdach
&lt;Razem: F=713,55m2&gt;</t>
  </si>
  <si>
    <t>Wykonanie chodnika na zjazdach z kostki brukowej betonowej kolorowej (np. czerwonej) o grubości 8cm na podsypce cementowo - piaskowej 1:4 o grubości 3cm, spoiny wypeł. piaskiem.
&lt;F=156,21m2&gt;</t>
  </si>
  <si>
    <t>Ustawienie obrzeży betonowych o wymiarach 30x8cm na podsypce cementowo-piaskowej 1:4 o grubości 3cm i ławie betonowej C12/15, gr. 10cm o V=0,024m3/m
&lt;L= 465,00m&gt;</t>
  </si>
  <si>
    <t>ZABEZPIECZENIE URZĄDZEŃ TELETECHNICZNYCH (ROBOTY TELEKOMUNIKACYJNE) 
- BRANŻA TELETECHNICZNA-</t>
  </si>
  <si>
    <t>SST D01.03.04
CPV 45111000-8</t>
  </si>
  <si>
    <t>PRZEBUDOWA I ZABEZPIECZENIE ISTNIEJĄCYCH SIECI TELEKOMUNIKACYJNYCH                                                                                                                                    Roboty budowlane w zakresie budowy rurociągów,ciągów komunikacyjnych i linii telekomunikacyjnych.</t>
  </si>
  <si>
    <t>Przebudowa elementów sieci telekomunikacyjnej</t>
  </si>
  <si>
    <t>IV</t>
  </si>
  <si>
    <t xml:space="preserve">SST 01.03.05
CPV 45231300-8 
CPV 45232150-8 </t>
  </si>
  <si>
    <r>
      <t xml:space="preserve">Przebudowa podziemnych lini wodociągowych
</t>
    </r>
    <r>
      <rPr>
        <sz val="10"/>
        <rFont val="Times New Roman"/>
        <family val="1"/>
        <charset val="238"/>
      </rPr>
      <t xml:space="preserve">Roboty budowlane w zakresie budowy wodociągów i rurociągów do odprowadzania ścieków 
Roboty w zakresie rurociągów do przesyłu wody </t>
    </r>
  </si>
  <si>
    <t>Przebudowa elementów sieci wodociągowej</t>
  </si>
  <si>
    <t>01.02.04.90</t>
  </si>
  <si>
    <t>Rozbiórka elementów przestrzennych</t>
  </si>
  <si>
    <t>Wykonanie nawierzchni z betonu asfaltowego AC 11S, warstwa ścieralna, gr. w-wy 
4 cm na zjezdzie do Przedszkola, zjeździe do "SOSW w Ropczycach"  i ul. Wierzbowe Miasto.
&lt;F=44,00m2&gt; - wg. Tabeli nr 1</t>
  </si>
  <si>
    <t>Wykonanie nawierzchni z betonu asfaltowego AC 16W, warstwa wiążąca,  gr. w-wy 4 cm na zjezdzie publicznym do przedszkola i "SOSW".
&lt; F=30,00m2&gt; - wg. Tabeli nr 1</t>
  </si>
  <si>
    <t>Wykonanie frezowania nawierzchni asfaltowych na zimno: śr. gr.  4 - 8 cm na zjeździe publicznym do przedszkola, "SOSW" i skrzyżowaniu z ul. Wierzbowe Miasto.
&lt;F =44,00m2&gt;</t>
  </si>
  <si>
    <t>ZABEZPIECZENIE SIECI WODOCIĄGOWEJ  (ROBOTY WODNO-KANALIZACYJNE) 
- BRANŻA SANITARNA -</t>
  </si>
  <si>
    <t>Regulacja wysokościowa, dostosowanie do poziomu projektowanej nawierzchni zjazdów i chodnika istniejących ram i pokryw studni telekomunkacyjnych. Koszt opracowania niezbędnych projektów technologicznych oraz koszty ewentualnych nadzorów ze strony Właściciela sieci w gestii Wykonawcy.
&lt;N= 10,00szt.&gt;</t>
  </si>
  <si>
    <t>Regulacja wysokościowa, dostosowanie do poziomu projektowanej nawierzchni zjazdów i chodnika istniejącej armatury wodociągowej min. trzpieni i skrzynek zasów oraz hydrantów. Koszt opracowania niezbędnych projektów technologicznych oraz koszty ewentualnych nadzorów ze strony Właściciela sieci w gestii Wykonawcy.
&lt;N= 8,00szt.&gt;</t>
  </si>
  <si>
    <t>Rozebranie nawierzchni z kostki betonowej brukowej o gr. 6cm/drobnowymiarowych elementów betonowych na podsypce cementowo-piaskowej o gr. 3cm na chodniku i zjazdach. 
&lt;F1=580,24m2&gt; - nawierzchnia chodnika
&lt;F2= 44,05m2&gt; - nawierzchnia na zjazdach
&lt;Razem F=624,29m2&gt; - wg Tabeli nr 1</t>
  </si>
  <si>
    <t>Demontaż elementów przestrzennych nie stanowiących wyposazenia drogi, zlokalizowanych w istniejącym pasie drogowym: 
1. Ławka parkowa - 1szt.
2. Krzyż kamienny wys. ok  50cm - 1szt.
Transport w/w elementów na plac składowania wskazany przez Zamawiającego.</t>
  </si>
  <si>
    <t xml:space="preserve">POWIAT ROPCZYCKO-SĘDZISZOWSKI
UL. KONOPNICKIEJ 5
39 – 100 ROPCZYCE
</t>
  </si>
  <si>
    <t>Ilośc jednostek</t>
  </si>
  <si>
    <t>OGÓŁEM [I]: WYMAGANIA OGÓLNE  (DZIAŁ OGÓLNY)</t>
  </si>
  <si>
    <t>OGÓŁEM [II]: ROBOTY DROGOWE</t>
  </si>
  <si>
    <t>RAZEM [B]</t>
  </si>
  <si>
    <t>RAZEM [A]</t>
  </si>
  <si>
    <t>RAZEM [C]</t>
  </si>
  <si>
    <t>OGÓŁEM [III]: BRANŻA TELETECHNICZNA</t>
  </si>
  <si>
    <t>RAZEM [D]</t>
  </si>
  <si>
    <t>OGÓŁEM [IV]: BRANŻA SANITARNA</t>
  </si>
  <si>
    <t>RAZEM [E]</t>
  </si>
  <si>
    <t>RAZEM [F]</t>
  </si>
  <si>
    <t>RAZEM [G]</t>
  </si>
  <si>
    <t>RAZEM [H]</t>
  </si>
  <si>
    <t>DROGOWA, TELETECHNICZNA, SANITARNA</t>
  </si>
  <si>
    <t>31.07.2017 r.</t>
  </si>
  <si>
    <t>Tabela nr 1. Zjazdy indywidualne / publiczne / skrzyżowania</t>
  </si>
  <si>
    <t>PRZEBUDOWA CHODNIKA DLA PIESZYCH WRAZ Z REMONTEM I ZABEZPIECZENIEM SKARPY W CIĄGU ULICY POWIATOWEJ 
NR 1358R UL. WYSZYŃSKIEGO W ROPCZYCACH OD KM 0+347,25 DO KM 0+444,50</t>
  </si>
  <si>
    <t>Rozebranie podbudowy z kruszywa/istn konstrukcji chodnika o gr. w-wy około 25 cm - istniejąca konstrukcja na chodniku, zjazdach indywidualnych i publicznych.
&lt; F=624,29m2&gt; - wg Tabeli nr 1</t>
  </si>
  <si>
    <t>Materiał z rozbiórki zakwalifikowany jako przydatny do ewentualnego ponownego wykorzysta. Materiał nieprzydatny podlega utylizacji przez Wykonawcę. Transport materiału przydatnego przez Wykonawcę na plac składowania wskazany przez Zamawiajacego.
&lt;V=624,29m2 x0,20m =124,86m3&gt;</t>
  </si>
  <si>
    <r>
      <t>m</t>
    </r>
    <r>
      <rPr>
        <b/>
        <vertAlign val="superscript"/>
        <sz val="10"/>
        <color indexed="10"/>
        <rFont val="Times New Roman"/>
        <family val="1"/>
        <charset val="238"/>
      </rPr>
      <t>2</t>
    </r>
  </si>
  <si>
    <r>
      <t>m</t>
    </r>
    <r>
      <rPr>
        <vertAlign val="superscript"/>
        <sz val="10"/>
        <color indexed="10"/>
        <rFont val="Times New Roman"/>
        <family val="1"/>
        <charset val="238"/>
      </rPr>
      <t>2</t>
    </r>
  </si>
  <si>
    <r>
      <t>m</t>
    </r>
    <r>
      <rPr>
        <vertAlign val="superscript"/>
        <sz val="10"/>
        <color indexed="10"/>
        <rFont val="Times New Roman"/>
        <family val="1"/>
        <charset val="238"/>
      </rPr>
      <t>3</t>
    </r>
  </si>
  <si>
    <t>0+350,85</t>
  </si>
  <si>
    <t>Szerokość nawierzchni zjazdu po przebudowie</t>
  </si>
  <si>
    <t>0+354,45</t>
  </si>
  <si>
    <t>Strona drogi zgodnie z km
L/P</t>
  </si>
  <si>
    <t>grunt/kruszywo</t>
  </si>
  <si>
    <t>grunt/
kruszywo</t>
  </si>
  <si>
    <t>0+362,0</t>
  </si>
  <si>
    <t>P</t>
  </si>
  <si>
    <t>0+374,25</t>
  </si>
  <si>
    <t>0+412,90</t>
  </si>
  <si>
    <t>Razem rozbiórka naw. Gruntowo - kruszywowych</t>
  </si>
  <si>
    <t>Lp.</t>
  </si>
  <si>
    <t>PRZEBUDOWA DROGI GMINNEJ NR 107736 R BRZEZINY – BUKOWINA – MAŁA W KM 0+000 – 2+800 NA DZIAŁCE EWIDENCYJNEJ NR 831, 
W M. BRZEZINY – I ETAP</t>
  </si>
  <si>
    <t xml:space="preserve">Odcinek DG od km (lok) 0+000,00 do km 2+800,00 wraz z wytyczeniem wszystkich punktów projektowanej drogi po przebudowie, elementów odwodnienia, istniejących sieci uzbrojenia terenu, itd. - kompletna obsługa geodezyjna inwestycji 
&lt;L=2,80km&gt; </t>
  </si>
  <si>
    <t>07.05.01</t>
  </si>
  <si>
    <t>Bariery ochronne stalowe</t>
  </si>
  <si>
    <t>07.05.01.11</t>
  </si>
  <si>
    <t>Ustawienie barier ochronnych stalowych jednostronnych</t>
  </si>
  <si>
    <t>Umocnienie skarp brukiem kamiennym na podsypce</t>
  </si>
  <si>
    <t>06.01.01.45</t>
  </si>
  <si>
    <t>różnia</t>
  </si>
  <si>
    <t>odległość</t>
  </si>
  <si>
    <t>spadek</t>
  </si>
  <si>
    <t xml:space="preserve">rzędna 1 </t>
  </si>
  <si>
    <t>rzędna 2</t>
  </si>
  <si>
    <t>0+629</t>
  </si>
  <si>
    <t>0+860</t>
  </si>
  <si>
    <t>0+000</t>
  </si>
  <si>
    <t>0+952</t>
  </si>
  <si>
    <t>1+080</t>
  </si>
  <si>
    <t xml:space="preserve">1+150 </t>
  </si>
  <si>
    <t>0+600</t>
  </si>
  <si>
    <t>m2</t>
  </si>
  <si>
    <t>04.03.01.13
04.03.01.23</t>
  </si>
  <si>
    <t>Oczyszcznie i skropienie emulsją asfaltową warstw konstrukcyjnych nieulepszonych mechanicznie</t>
  </si>
  <si>
    <t>Oczyszcznie i skropienie emulsją asfaltową warstw konstrukcyjnych ulepszonych mechanicznie</t>
  </si>
  <si>
    <t>L=</t>
  </si>
  <si>
    <t>F=</t>
  </si>
  <si>
    <t>V=</t>
  </si>
  <si>
    <t>wg. Rysunku Plan Sytuacyjny</t>
  </si>
  <si>
    <t>wg. Rysunku Plan Sytuacyjny i Przekroje typowe</t>
  </si>
  <si>
    <t>N=</t>
  </si>
  <si>
    <t xml:space="preserve">wg. Rysunku Plan Sytuacyjny </t>
  </si>
  <si>
    <t xml:space="preserve">Wykonanie frezowania nawierzchni asfaltowych o śr. gr. w-wy 5cm </t>
  </si>
  <si>
    <t>Ulepszone podłoże z gruntu stabilizowanego cemenetem</t>
  </si>
  <si>
    <t>04.05.01.32</t>
  </si>
  <si>
    <t>Usunięcie drzew lub krzaków</t>
  </si>
  <si>
    <t>07.06.01.11</t>
  </si>
  <si>
    <t>Ustawienie ogrodzenia z siatki</t>
  </si>
  <si>
    <t>Ustawienie ogrodzenia o wysokosci około 1,5m z siatki stalowej ocynkowanej i powlekanej na słupkach stalowych oraz podwalinie betonowej, słupki stalowe z fundamentem betonowym. Ustawienie bram i furtek. Ogrodzenia nieruchomości na działkach nr ewid. 362 i 412/1. Wykonawca robót uzgodni szczegóły z Inwestorem i właścicielem nieruchomości.</t>
  </si>
  <si>
    <t>KOSZTY KWALIFIKOWANE</t>
  </si>
  <si>
    <t>Ustawienie drogowych barier ochronnych stalowych jednostronnych typu SP-05/2 lub ównoważna.</t>
  </si>
  <si>
    <t>Umocnienie  skarp (skarpy i dno rowów przydrożnych oraz skarpy i dno rowu melioracyjnego stanowiącego odbiornik wód z rowów drogowcyh na odcinku ok 12m za wylotem przepustu P1) brukiem kamiennym o gr. około 15cm na podsypce cementowo - piaskowej o gr. 20cm z wypełnieniem spoin zaprawą na odcinku od km około 0+915,00 do km około 1+054,00.</t>
  </si>
  <si>
    <t>KOSZTY NIEKWALIFIKOWANE</t>
  </si>
  <si>
    <t>Mechaniczne usunięcie warstwy urodzajnej (humusu) gr. w-wy 25cm  ze złożeniem na placu Wykonawcy. Humus do późniejszego wykorzystania (proj. grubość humusu 15cm). Miejsce składowania zapewnia Wykonawca. Średnia grubość w-wy darniny 10cm. Nadmiar humusu oraz darnina przechodzi na własność Wykonawcy.</t>
  </si>
  <si>
    <t>Wyznaczenie trasy i punktów wysokościowych w terenie pagórkowatym</t>
  </si>
  <si>
    <t>BUDOWA CHODNIKA DLA PIESZYCH  W CIĄGU DROGI POWIATOWEJ (ROBOTY DROGOWE)</t>
  </si>
  <si>
    <t>Karczowanie krzaków i przycinanie gałęzi drzew wraz z usunięciem (zniszczeniem) karpiny, drągowiny i gałęzi. Utylizacja materiału z karczowania w gestii Wykonawcy robót.</t>
  </si>
  <si>
    <t>m3</t>
  </si>
  <si>
    <t>01.02.04.40</t>
  </si>
  <si>
    <t>01.02.04.93</t>
  </si>
  <si>
    <t>01.02.04.62</t>
  </si>
  <si>
    <t>Rozebranie barier ochronnych stalowych</t>
  </si>
  <si>
    <t>04.06.01c</t>
  </si>
  <si>
    <t>Podbudowa z betonu cementowego</t>
  </si>
  <si>
    <t xml:space="preserve">Umocnienie skarp i dna rowu prefabrykatami ażurowymi typu krata </t>
  </si>
  <si>
    <t>wg. Rysunku Plan Sytuacyjny i rysunków rozwiązań szczegółów</t>
  </si>
  <si>
    <t>Ustawienie obrzeży betonowych o wymiarach 30x8 cm</t>
  </si>
  <si>
    <t>08.05.06a</t>
  </si>
  <si>
    <t>Ściek uliczny z betonowej kostki brukowej</t>
  </si>
  <si>
    <t>08.05.06a.10</t>
  </si>
  <si>
    <t>Krawęzniki betonowe</t>
  </si>
  <si>
    <t xml:space="preserve">Wykonanie nawierzchni z kostki brukowej betonowej o gr. 8 cm </t>
  </si>
  <si>
    <t>08.01.01.10</t>
  </si>
  <si>
    <t>08.02.02.20</t>
  </si>
  <si>
    <t>Ustawienie obrzeży betonowych o wym. 8x30cm na podsypce cementowo-piaskowej o gr. 3cm i ławie betonowej z oporem z betonu C16/20 (V=0,03m3/m). Regulacja wysokościowa / wymina istn. obrzeży na odcinku ok 3,0m w obrębie istn. chodnika.</t>
  </si>
  <si>
    <t>Ułożenie ścieku przykrawężnikowego z kostki brukowej betonowej</t>
  </si>
  <si>
    <t>Przymocowanie tarcz do słupków stalowych - odtworzenei istn. oznakowania</t>
  </si>
  <si>
    <t>Ustawienie słupków z rur stalowych dla znaków drogowych - materiał z demontażu</t>
  </si>
  <si>
    <t xml:space="preserve">szt. </t>
  </si>
  <si>
    <t>Odtworzenie zdemontowanego oznakownaia pionowego</t>
  </si>
  <si>
    <t xml:space="preserve">Ustawienie barier ochronnych rurowych </t>
  </si>
  <si>
    <r>
      <t xml:space="preserve">ODWODNIENIE KORPUSU DROGOWEGO
</t>
    </r>
    <r>
      <rPr>
        <sz val="10"/>
        <rFont val="Times New Roman"/>
        <family val="1"/>
        <charset val="238"/>
      </rPr>
      <t>Roboty budowlane w zakresie budowy rurociągów</t>
    </r>
  </si>
  <si>
    <t>03.01.01.60</t>
  </si>
  <si>
    <t>Wykonanie ścianek czołowych przepustów</t>
  </si>
  <si>
    <t>Wykonanie ścianek czołowych przepustów HDPE o śr.100cm z betonu C25/30 z użyciem deskowania, ścianki zbrojone dwoma rzędami siatki stalowej żebrowanej (A-III) fi 12mm co 20cm. Wykonanie wykopów pod podsypkę i fundamenty betonowe ścianek, izolacja R+2P.
Ilość ścianek wg rys. Plan sytuacyjny: 
&lt;N=1,0szt&gt; - przepust "P1"
Ilość materiału:
&lt;V=(3.0*3.0-(3,14*0,5*0,5))*0,4 = 3,30m3&gt; - beton
&lt;F=21,50m2&gt; - pospółka o gr. 25cm
&lt;F=1,60m2&gt; - chudy beton o gr. 10cm</t>
  </si>
  <si>
    <t xml:space="preserve">Przepusty z rur polietylenowych pod koroną drogi </t>
  </si>
  <si>
    <t>03.03.01.71</t>
  </si>
  <si>
    <t>Wykonanie żelbetowych przepustów skrzynkowych, prefabrykowanych</t>
  </si>
  <si>
    <t>Wykonanie przepustu - część prefabrykowana: dwudzielny przepust skrzynkowy o wymiarach w świetle 3.0x1.0m i wymiarach zewnętrznych 3.6x1.3m. 
Długość elementu: 0.99m
&lt;N=9,00szt.&gt; - wg rysunku Przekroje przez przepust "P2"</t>
  </si>
  <si>
    <t>58.1</t>
  </si>
  <si>
    <t>Wykonanie fundamentu z kruszywa łamanego 0/31,5mm stabilizowanego mechanicznie, gr. w-wy 20cm
&lt;V=8,8*5,0*0,2=8,8m2&gt; - wg rysunku Przekroje przez przepust "P2"</t>
  </si>
  <si>
    <r>
      <t xml:space="preserve">ODWODNIENIE KORPUSU DROGOWEGO
</t>
    </r>
    <r>
      <rPr>
        <sz val="10"/>
        <rFont val="Times New Roman"/>
        <family val="1"/>
        <charset val="238"/>
      </rPr>
      <t>Roboty budowlane w zakresie budowy przepustu</t>
    </r>
  </si>
  <si>
    <t>wg. Rysunku Plan Sytuacyjny i  rysunków rozwiązań szczegółów</t>
  </si>
  <si>
    <t>03.02.01.23</t>
  </si>
  <si>
    <t>Wykonanie przykanalików rur polipropylenowych PP ø200mm</t>
  </si>
  <si>
    <t xml:space="preserve">
Wykonanie i zatwierdzenie projektu oznakowania robót i organizacji ruchu na czas prowadzenia robót (4 egz.) wraz z zakupem, ustawieniem, rozbiórką (po zakończeniu robót) i utrzymaniem oznakowania w trakcie realizacji robót
</t>
  </si>
  <si>
    <t xml:space="preserve">
Wykonanie geodezyjnej inwentaryzacji powykonawczej
</t>
  </si>
  <si>
    <t xml:space="preserve">
Wykonanie planu bezpieczeństwa i ochrony zdrowia (BIOZ) i programu zapwenienia jakości (PZJ) oraz harmonogramu rzeczowo-finansowego wraz aktualizacją w czasie robót
</t>
  </si>
  <si>
    <t xml:space="preserve">
Doprowadzenie terenu do stanu pierwotnego oraz odtworzenie usuniętych elementów organizacji ruchu (oznakowanie pionowe) zgodnie z wymaganymi standardami
 </t>
  </si>
  <si>
    <t>Nawierzchnia z kruszywa łamanego</t>
  </si>
  <si>
    <t>Wykonanie podbudowy z kruszywa łamanego 0/63mm stabilizowanego mechanicznie, gr. w-wy 30cm</t>
  </si>
  <si>
    <t>Wykonanie nawierzchni z kruszywa łamanego 0/31,5mm o gr. 20cm górna warstwa zaklinowana. Nawierzchnia na zjazdach za chodnikiem, gr. w-wy 20cm</t>
  </si>
  <si>
    <t xml:space="preserve">PRZEBUDOWA DROGI POWIATOWEJ NR 1287R LUBZINA-PASZCZYNA POLEGAJĄCA NA BUDOWIE CHODNIKA NA ODCINKU OD KM 0+000 DO KM 0+738 W M. LUBZINA </t>
  </si>
  <si>
    <t>Rozebranie istniejących zjazdów</t>
  </si>
  <si>
    <t xml:space="preserve">Rozebranie istn. słupków stalowych rurowych znaków drogowych kolidujących z projektowanym zakresem robót drogowych (materiał do ponownego wykorzystania - przestawienie poza obręb chodnika 2szt. znaków). </t>
  </si>
  <si>
    <t>Zdjęcie tablic: znak E-17a i D-42,  znak A-6b, (materiał do ponownego wykorzystania), U-6d (przekazanie Zarządcy drogi)</t>
  </si>
  <si>
    <t>Wykonanie studzienek deszczowych z kregów betonowych o średnicy ø50cm, z wpustem żeliwnym krawężnikowo - jezdnym</t>
  </si>
  <si>
    <t>Wykonanie studzienek deszczowych "wd1-wd6" oraz "wd8-wd10" o średnicy 500mm z osadnikiem i kratą żeliwną przejazdową klasy D400, na ławie z  chudego betonu  o gr. 10 cm i pospółki o gr. 25cm, wraz z wykonaniem wykopu i zasypaniem. Studzienki kompletne.</t>
  </si>
  <si>
    <t>Wykonanie studzienki deszczowej "wd7" z koszem z tworzyw sztucznych PE bezosadnikowa z kratą żeliwną przejazdową klasy D400, na ławie z betonu C 12/15 gr. 20 cm z odpływem bocznym i przykanalikiem z rur giętkich, wraz z wykonaniem wykopu i zasypaniem (kompletne).</t>
  </si>
  <si>
    <r>
      <t xml:space="preserve">Wykonanie studni kanalizacyjnych betonowych o średnicy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80cm wraz z wykonaniem wykopu i zasypaniem</t>
    </r>
  </si>
  <si>
    <t>Wykonanie przykanalików deszczowych z rur PP Dn200 łączonych na wcisk wraz z wykopem, wykonaniem podsypki, obsypką i zasypaniem. Wykonanie próby szczelności kanałów deszczowych Dn200.</t>
  </si>
  <si>
    <t>Wykonanie kanalizacji deszczowej - kolektory z rur strukturalnych PP ø400 wraz z wykonaniem podsypki i obsypki z piasku o gr. min. 20cm</t>
  </si>
  <si>
    <r>
      <t>Wykonanie kanału z rur strukturalnych PP SN8 o średnicy wewnętrznej DN400, łączone na wcisk wraz z wykonaniem podsypki i obsypki. Odcinek od studni "S3" do projektowanego wylotu W1. Montaż kolana kąt 45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.</t>
    </r>
  </si>
  <si>
    <t>03.02.022</t>
  </si>
  <si>
    <t>Wykonanie kanalizacji deszczowej - kolektory z rur strukturalnych PP ø315 wraz z wykonaniem podsypki i obsypki z piasku o gr. min. 20cm</t>
  </si>
  <si>
    <t>Wykonanie kanału z rur strukturalnych PP SN8 o średnicy wewnętrznej DN315, łączone na wcisk wraz z wykonaniem podsypki i obsypki. Odcinek od studni "S1" do studni "S3".</t>
  </si>
  <si>
    <t>03.02.021</t>
  </si>
  <si>
    <r>
      <t xml:space="preserve">Wykonanie studni kanalizacyjnych przelotowych "S1" - "S10" systemowych z kręgów betonowych o średnicy 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 xml:space="preserve"> 80cm. Studnia kompletna z włazem żeliwnym, fundamentem z betonu C 12/15 gr. 20 cm, izolacją i stopniami złazowymi wewnątrz, wraz z wykonaniem wykopu i zasypaniem. Studznie kompletne.</t>
    </r>
  </si>
  <si>
    <t>Wykonanie studzienek deszczowych ulicznych (krawężnikowo-jezdnych) z tworzyw sztucznych PE w gotowym wykopie</t>
  </si>
  <si>
    <t>Wykonanie koryta mechanicznie wraz z profilowaniem i zagęszczaniem podłoża w gr. kat I-VI, śr. głębok. koryta ok 55cm</t>
  </si>
  <si>
    <t>04.04.02.10</t>
  </si>
  <si>
    <t>10.</t>
  </si>
  <si>
    <t>Wykonanie ulepszonego podłoża z gruntu stabilizowanego spoiwem hydraulicznym, gr. w-wy 10cm</t>
  </si>
  <si>
    <t>Wykonanie warstwy podbudowy z betonu cementowego C12/15 o gr. pod konstrukcję chodnika na zjazdach z kostki brukowej gr. w-wy 15 cm.</t>
  </si>
  <si>
    <t>Wykonanie warstwy wzmacniającej stabilizowanej spoiwem hydraulicznym o gr. 20cm i wytrzymałości Rm=2,5MPa pod konstrukcję poszerzenia jezdni drogi powiatowej oraz konstrukcję zjazdu na drogę wewnętrzną w km 0+453,5 gr. w-wy 20 cm.</t>
  </si>
  <si>
    <t xml:space="preserve">Ustawienie krawężników betonowych o wymiarach 20x30 cm na ławie betonowej z oporem </t>
  </si>
  <si>
    <t>Ustawienie krawężników drogowych betonowych o wym. 20x30cm  "stojące" na podsypce cementowo - piaskowej o gr. 5cm i ławie betonowej C16/20 (V=0,09m3/m). Regulacja istn. krawezników na odcinku  na odcinku ok 5m na początku odcinka oraz ok 3m na końcu odcinka na połaczeniach z istniejacymi chodnikami.</t>
  </si>
  <si>
    <t>Wykonanie nawierzchni chodnika z kostki brukowej betonowej o gr. 8 cm na podsypce cementowo-piaskowej o gr. 3cm. Regulacja wysokościowa nawierzchni z kostki na istn. chodniku w km 0+738 odc. długości ok 3,0m.</t>
  </si>
  <si>
    <t>Wykonanie nawierzchni chodnika z kostki brukowej betonowej kolorowej o gr. 8 cm na podsypce cementowo-piaskowej o gr. 3cm w miejscach przejazdu przez chodnik - zjazdy indywidualne.</t>
  </si>
  <si>
    <t>Wykonanie ścieku przykrawężnikowego z 2 rzędów kostki brukowej betonowej prostokątnej 8x10x20cm na podsypce cementowo- piaskowej gr. 3cm i ławie betonowej z betonu C16/20 o śr. gr. 23 cm</t>
  </si>
  <si>
    <t>wg. Rysunku Plan Sytuacyjny i załacznika nr 1 do Przedmiaru</t>
  </si>
  <si>
    <t>demontaż oznakowania pionowego kolidującego z robotami</t>
  </si>
  <si>
    <t>Ustawienie barier wygrodzeniowych typu U-11a. Słupki barier osadzone w fundamencie betonowym z betonu klasy C16/20. Jedno przęsło 2,0 m z demontażu do ponownego wykorzystania.</t>
  </si>
  <si>
    <t>Wykonanie warstwy odcinającej z piasku na zjazdach za chodnikiem  gr. w-wy po zagęszczeniu 15cm.</t>
  </si>
  <si>
    <t>wg. Rysunku Plan Sytuacyjny i zał. nr 1 do Przedmiaru Robót</t>
  </si>
  <si>
    <t xml:space="preserve">Wykonanie koryta pod konstrukcję poszerzenia jezdni drogi powiatowej, chodnika i zjazdów gdzie przewiduje się wykonanie warstwy odcinającej z piasku oraz zjazdu na drogę wewnętrzną o nawierzchni bitumicznej (wymiana konstrukcji) gr. kat I-VI śr. głębokość koryta ok 55cm. </t>
  </si>
  <si>
    <t>Wykonanie w-wy podbudowy z kruszywa łamanego 0/63 mm stabilizowanego mechanicznie o gr. 15cm - chodnik na szlaku oraz na zjazdach za chodnikiem wg. wykazu w zał. nr 1 do Przedmiaru Robót.</t>
  </si>
  <si>
    <t>Wykonanie w-wy podbudowy z kruszywa łamanego 0/63 mm stabilizowanego mechanicznie o gr. 30cm - konstrukcja poszerzenia jezdni drogi powiatowej  oraz konstrukcję zjazdu na drogę wewnętrzną w km 0+453,50.</t>
  </si>
  <si>
    <t>Wykonanie warstwy wzmacniającej stabilizowanej spoiwem hydraulicznym o gr. 10cm i wytrzymałości Rm=2,5MPa pod konstrukcję chodnika na zjazdach z kostki brukowej gr. 
w-wy 10 cm oraz zjazdach za chodnikiem wg. w zał. nr 1 do Przedmiaru Robót.</t>
  </si>
  <si>
    <t>05.03.05.B</t>
  </si>
  <si>
    <t xml:space="preserve">Wykonanie nawierzchni z betonu asfaltowego AC 11S na poszerzeniu DP oraz w obrębie zjazdu na drogę wewnętrzną w km 0+453,5, gr. w-wy 5 cm. </t>
  </si>
  <si>
    <t xml:space="preserve">Wykonanie nawierzchni z betonu asfaltowego AC 16W na poszerzeniu DP oraz w obrębie zjazdu na drogę wewnętrzną w km 0+453,5, gr. w-wy 8 cm. </t>
  </si>
  <si>
    <t>Wykonanie nawierzchni z betonu asfaltowego AC16W, warstwa wiążąca, gr. w-wy 8 cm</t>
  </si>
  <si>
    <t>Wykonanie nawierzchni z kruszywa łamanego 0/31,5mm, gr. w-wy 20 cm</t>
  </si>
  <si>
    <t>Wykonanie ulepszonego podłoża z gruntu stabilizowanego spoiwem hydraulicznym, gr. w-wy 20 cm</t>
  </si>
  <si>
    <t>Wykonanie nawierzchni z betonu asfaltowego AC11S, warstwa ścieralna, gr. w-wy 4 cm</t>
  </si>
  <si>
    <t>Wykonanie nawierzchni z betonu asfaltowego AC 11S, warstwa ścieralna, gr. w-wy 
5 cm na zjazdach za chodniekiem. Wg. zał. nr 1 do Przedmiaru Robót</t>
  </si>
  <si>
    <t>Zacięcie piłą i wykonanie frezowania nawierzchni asfaltowych o śr. gr. warstwy 5cm na połączeniu z istniejącą nawierzchnią bitumiczną drogi powiatowej (projektowane poszerzenie). Sposób zagospodarowania materiału z rozbiórki wg. ustaleń z Zarządcą drogi.</t>
  </si>
  <si>
    <t>Oczyszczenie i skropienie emulsją asfaltową warstw konstrukcyjnych nieulepszonych mechanicznie na poszerzeniach jezdni oraz zjeździe na drogę wewnętrzną. w km 0+453,5.</t>
  </si>
  <si>
    <t>Oczyszczenie i skropienie emulsją asfaltową warstw konstrukcyjnych ulepszonych mechanicznie na poszerzeniach jezdni oraz zjeździe na drogę wewnętrzną. w km 0+453,5 (warstwa wiążąca).</t>
  </si>
  <si>
    <t>05.03.11.34</t>
  </si>
  <si>
    <t>Zabezpieczenie geosiatką nawierzchni asfaltowej przed spękaniami</t>
  </si>
  <si>
    <t>Wykonanie warstwy z geosiatki w celu zabezpieczenia nawierzchni asfaltowej przed spękaniami na połaczeniu z poszerzeniem jezdni</t>
  </si>
  <si>
    <t>Ułożenie warstwy wzmacniającej z geosiatki (wytrzymałość długotrwała w obu kierunkach  100kN/m i e &lt;=3%) na połączeniu istn. nawierzchni DP z proj. poszerzeniem.</t>
  </si>
  <si>
    <t xml:space="preserve">Humusowanie z obsianiem terenu za chodnikiem przy grubości humusu 10 cm. Humus uprzednio usunięty i zmagazynowany przez Wykonawcę.  Wykonawca pozyska  nasiona traw własnym staraniem i na własny koszt. </t>
  </si>
  <si>
    <t>Wykonanie umocnienia skarp korpusu drogi i wylotu kanalziacji "W1" płytami ażurowymi 40x60x10cm na podsypce cementowo-piaskowej gr.10cm (otwory w ażurach przy wylocie kanalizacji deszczowej wypełnione betonem), paliki fi5cm, dł. 60cm po 2 szt. na płytę</t>
  </si>
  <si>
    <t>Zabezpieczenie proj. kanalizacji deszczowej rurą ołsonową</t>
  </si>
  <si>
    <t>Zabezpieczenie odcinka projektowanej kanalizacji deszczowej rurą osłonową HDPE 560/6 l=8,0m bezszwowej układanej symetrycznie w miejscu skrzyżowania poprzecznego proj. kanału deszczowego z czynnym gazociągiem wysokiego ciśnienia DN700. Montaż rury w gotowym wykopie wraz z wypełnieniem przestrzeni pomiędzy rurą przewodową a rurą osłonową płozami / wkładkami systemowymi oraz wykonaniem uszczenienia końców rury manszetami ellastomerowymi. Szczegółowe warunki realziacji skrzyżowania wg. części opisowej oraz wydanych warunków technicznych.</t>
  </si>
  <si>
    <t>Wykonanie wykopów mechanicznie w gr. kat. I-V z transportem urobku na odkład. Wykonanie wykopów pod kanalziację deszcozwą oraz kanałtechnologiczny. Odkopanie isteiejących urządzeń podziemnych przewidziany do zabezpieczenia kształtowanie skarp w obrębie projektowanego wylotu kanalziacji. Nadmiar gruntu (grunt nieprzydatny) przechodzi na własność Wykonawcy. Wykonawca zapewni transport i utylizację materiału nieprzydatnego.</t>
  </si>
  <si>
    <t>Formowanie i zagęszczanie nasypów z gruntu dostarczonego z dokopu - zasypanie istn. rowu otwartego, warstwy nasypowe pod konstrukcję chodnika.</t>
  </si>
  <si>
    <t>&lt;Wykonanie podłoża pod kanały z materiałów sypkich - piasek/żwir, grubość 20·cm, średnio: 0,8x0,2x1,0&gt;</t>
  </si>
  <si>
    <t>&lt;Wykonanie podłoża pod kanały z materiałów sypkich - piasek/żwir, grubość 20·cm, średnio: 1,0x0,2x1,0&gt;</t>
  </si>
  <si>
    <t>&lt;Wykonanie obsypki z kruszyw naturalnych wykop szer. śr. 1,0 m min. 30cm ponad wierzch rury&gt;</t>
  </si>
  <si>
    <t xml:space="preserve">Rozebranie nawierzchni gruntowych, gruntowo - kruszywowych, bitumicznych, betonowych, kostki brukowej. Rozebranie elementów betonowych: ścianek czołowych przepustów płyt ażurowych, korytek betonowych, płyt drogwych, drobnowymiarowych płyt chodnikowych, kostki brukowej itp. Odkopanie i robiórka części przewodowych przepustów pod istn. zjazdami. Utylizacja materiaów z rozbiórki w gestii Wykonawcy. Szczegółowy zakres robót wg. załącnzika nr 1 do Przedmiaru robót - tabela robót na zjazdach. </t>
  </si>
  <si>
    <t>Rozbiórka  jednego przęsła wygrodzenia szczeblinkowego typu "U" do ponownego wykorzystania.</t>
  </si>
  <si>
    <t>Wykonanie nawierzchni z kolorowej betonowej kostki brukowej o gr. 6 i 8 cm na podsypce cementowo-piaskowej o gr. 3cm. Dostosowanie nawierzchni istniejących  zjazdów z kostki brukowej za chodnikiem wraz z uzupełnieniem / profilowaniem podbudowy z kruszywa.</t>
  </si>
  <si>
    <t>Wykonanie nawierzchni z płyt ażurowych - materiał z odzysku na podsypce cementowo-piaskowej o gr. 5cm. Dostosowanie nawierzchni istniejącego  zjazdu za proj. chodnikiem wraz z uzupełnieniem / profilowaniem podbudowy z kruszywa.</t>
  </si>
  <si>
    <t>Wykonanie nawierzchni z płyt ażurowych - materiał z odzysku</t>
  </si>
  <si>
    <t>05.03.01</t>
  </si>
  <si>
    <t>05.03.01.23</t>
  </si>
  <si>
    <t>Nawierzchnia z kostki brukowej betonowej</t>
  </si>
  <si>
    <t>05.03.03</t>
  </si>
  <si>
    <t>Wykonanie nawierzchni z prefabrykowanych płyt betonowych</t>
  </si>
  <si>
    <t>Wykonanie nawierzchni z kolorowej betonowej kostki brukowej o gr. 6 i 8 cm na podsypce cementowo-piaskowej materiał z odzysku</t>
  </si>
  <si>
    <t>05.03.01.30</t>
  </si>
  <si>
    <t>Wykonanie nawierzchni z płyt drogowych - materiał z odzysku</t>
  </si>
  <si>
    <t>Wykonanie nawierzchni z żelbetowych płyt drogowych - materiał z odzysku płyty ukłądane na podsypce piaskowej o gr. 10cm. Przełożenie istn. płyt drogowych. Utwardzenie terenu w rejonie przepompowni ścieków - 3.szt płyt.</t>
  </si>
  <si>
    <t>J</t>
  </si>
  <si>
    <t>SST 01.03.02
CPV 45231400-9</t>
  </si>
  <si>
    <r>
      <t xml:space="preserve">PRZEBUDOWA PODZIEMNYCH KABLOWYCH LINII ENERGETYCZNYCH
</t>
    </r>
    <r>
      <rPr>
        <sz val="10"/>
        <rFont val="Times New Roman"/>
        <family val="1"/>
        <charset val="238"/>
      </rPr>
      <t>Roboty budowlane w zakresie budowy linii energetycznych</t>
    </r>
  </si>
  <si>
    <t>01.03.02</t>
  </si>
  <si>
    <t>Zabezpieczenie kablowych linii energetycznych</t>
  </si>
  <si>
    <t>kpl</t>
  </si>
  <si>
    <t>ROBOTY SANITARNE: ZABEZPIECZENIE PODZIEMNYCH LINII WODOCIĄGOWYCH</t>
  </si>
  <si>
    <t>K</t>
  </si>
  <si>
    <t>Kopanie rowów dla kabli w sposób ręczny w gruncie kat. III</t>
  </si>
  <si>
    <t>Nasypanie warstwy piasku na dnie rowu kablowego o szerokości do 0.6 m</t>
  </si>
  <si>
    <t>Zasypywanie rowów dla kabli wykonanych ręcznie w gruncie kat. III</t>
  </si>
  <si>
    <t>Zgodnie z wydanymi warunkami technicznymi</t>
  </si>
  <si>
    <t>V</t>
  </si>
  <si>
    <t xml:space="preserve"> Obsługa geodezyjna, nadzór właścicielski </t>
  </si>
  <si>
    <t>SST 01.03.04
CPV 45111000-8</t>
  </si>
  <si>
    <t>01.03.04</t>
  </si>
  <si>
    <t>Zabezpieczenie kablowych linii telekomunikacyjnych</t>
  </si>
  <si>
    <t>Układanie rur ochronnych dwudzielnych A120PS dla istniejących podziemnych kabli telekomunikacyjnych, w przypadku stwierdzenia braku rury osłonowej</t>
  </si>
  <si>
    <t>PRZEBUDOWA PODZIEMNYCH LINII WODOCIĄGOWYCH 
Roboty budowlane w zakresie budowy wodociągów i rurociągów do odprowadzania ścieków</t>
  </si>
  <si>
    <r>
      <rPr>
        <b/>
        <sz val="8"/>
        <rFont val="Times New Roman"/>
        <family val="1"/>
        <charset val="238"/>
      </rPr>
      <t>KNR 201/119/1
KNRW 201/212/6
KNRW 201/306/2
KNRW 201/313/2
KNRW 219/306/12 (1)</t>
    </r>
    <r>
      <rPr>
        <b/>
        <sz val="10"/>
        <rFont val="Times New Roman"/>
        <family val="1"/>
        <charset val="238"/>
      </rPr>
      <t xml:space="preserve">
CPV 45111000-8</t>
    </r>
  </si>
  <si>
    <t>Wykopy wąskoprzestrzenne lub jamiste ze skarpami o szerokości dna do 1,5·m ze złożeniem urobku na odkład, wykopy o głębokości do 1,5·m, grunt kategorii III</t>
  </si>
  <si>
    <t>Podłoże z materiałów sypkich, grubości 15·cm - podsypka</t>
  </si>
  <si>
    <t>ROBOTY ELEKTRYCZNE - ZABEZPIECZENIE KABLOWYCH LINII ENERGETYCZNYCH</t>
  </si>
  <si>
    <t>ROBOTY TELETECHNICZNE BUDOWA I ZABEZPIECZENIE KABLOWYCH LINII TELEKOMUNIKACYJNYCH</t>
  </si>
  <si>
    <t>BUDOWA URZADZEN TELEKOMUNIKACYJNYCH - WYKONANIE KANAŁU TECHNOLOGICZNEGO                                                                                                                                 CPV:Roboty budowlane w zakresie budowy rurociągów,ciągów komunikacyjnych i linii energetycznych.</t>
  </si>
  <si>
    <t>Montaż elementów ochrony przed ingerencją osób nieuprawnionych</t>
  </si>
  <si>
    <t>Budowa rurociągu kablowego z 1 rury Ø40/3,7</t>
  </si>
  <si>
    <t>Montaż złączy rur Ø40</t>
  </si>
  <si>
    <t>Odcinek DP od km 0+000,00 do km 0+738,00 wraz z wytyczeniem wszystkich punktów projektowanej drogi po przebudowie, elementów odwodnienia, projektowanego kanału technologicznego, istniejących sieci uzbrojenia terenu, tymczasowa stabilizacja na czas robót przebiegu granica pasa drogowego - kompletna obsługa geodezyjna inwestycji.</t>
  </si>
  <si>
    <t>Budowa kanału technologicznego.</t>
  </si>
  <si>
    <t>KNR 5-01 0401202</t>
  </si>
  <si>
    <t>TPSA 40 032201</t>
  </si>
  <si>
    <t>KNR 5-01 0106117</t>
  </si>
  <si>
    <t>KNR 5-10 0004505</t>
  </si>
  <si>
    <t>KNR 5-01 0106111</t>
  </si>
  <si>
    <t>KNR 5-71 0204100</t>
  </si>
  <si>
    <t>KNR 5-71 0206100</t>
  </si>
  <si>
    <t>PRZEBUDOWA URZADZEN TELEKOMUNIKACYJNYCH - ZABEZPIECZENIE ISTN. KABLI ŚWIATŁOWODOWYCH                                                                                                                                  CPV:Roboty budowlane w zakresie budowy rurociągów,ciągów komunikacyjnych i linii energetycznych.</t>
  </si>
  <si>
    <t>Jak wyżej lecz każdy następny (współczynnik 0,25)</t>
  </si>
  <si>
    <t>wg. Rysunku Plan Sytuacyjny i przekroje typowe</t>
  </si>
  <si>
    <t>Budowa kanalizacji wtórnej z wiązki mikrorur WMR 7x12/1,2</t>
  </si>
  <si>
    <t>Badanie szczelności zmontowanych odcinków</t>
  </si>
  <si>
    <t>Zabezpieczenie istniejących linii wodociągowych</t>
  </si>
  <si>
    <t>OGÓŁEM [II]: BUDOWA CHODNIKA DLA PIESZYCH  W CIĄGU DROGI POWIATOWEJ  (ROBOTY DROGOWE)</t>
  </si>
  <si>
    <t>RAZEM [J]</t>
  </si>
  <si>
    <t>OGÓŁEM [III]: ROBOTY ELEKTRYCZNE - ZABEZPIECZENIE KABLOWYCH LINII ENERGETYCZNYCH</t>
  </si>
  <si>
    <t>OGÓŁEM [IV]: ROBOTY TELETECHNICZNE BUDOWA I ZABEZPIECZENIE KABLOWYCH LINII TELEKOMUNIKACYJNYCH</t>
  </si>
  <si>
    <t>OGÓŁEM [V]: ROBOTY SANITARNE: ZABEZPIECZENIE PODZIEMNYCH LINII WODOCIĄGOWYCH</t>
  </si>
  <si>
    <t>RAZEM [K]</t>
  </si>
  <si>
    <t>RAZEM [L]</t>
  </si>
  <si>
    <t>M</t>
  </si>
  <si>
    <t>RAZEM [M]</t>
  </si>
  <si>
    <t>WARTOŚĆ KOSZTORYSOWA ROBÓT BEZ PODATKU VAT [I+II+III+IV+V]:</t>
  </si>
  <si>
    <t xml:space="preserve">Budowa studni kablowych SK-2 wraz z montażem elementów ochrony przed ingerencją osób nieuprawnionych  </t>
  </si>
  <si>
    <t xml:space="preserve">Budowa kanalizacji kablowej 1-otworowej z 1 rury  Ø110/6,3, 3 rury Ø40/3,7 oraz wiązki mikrorur WMR 7x12/1,2      </t>
  </si>
  <si>
    <t>Układanie dodatkowej rury ochronnej Ø110/6,3</t>
  </si>
  <si>
    <t>Układanie rur ochronnych sztywnych dwudzielnych na istniejącej sieci wodociągowej, przełużenie istn. rury ochronnej.</t>
  </si>
  <si>
    <t>KNR 201/119/1
KNRW 201/212/6
KNRW 201/306/2
KNRW 201/313/2
KNRW 219/306/12 (1)
CPV 45111000-8</t>
  </si>
  <si>
    <t>Układanie rur ochronnych dwudzielnych HDPE sztywność 10 np. PS. Dla istniejących podziemnych kabli energetycznych</t>
  </si>
  <si>
    <t>Wykonanie podbudowy z betonu cementowego C12/15 gr 15 cm</t>
  </si>
  <si>
    <t>Wykonanie podbudowy z betonu cementowego C12/15 gr. 15 cm</t>
  </si>
  <si>
    <t>Wykonanie nawierzchni z betonowej kostki brukowej o gr. 6 i 8 cm na podsypce cementowo-piaskowej materiał z odzysku</t>
  </si>
  <si>
    <t>PRZEBUDOWA DROGI POWIATOWEJ NR 1336R SIELEC - BĘDZIEMYŚL - DĄBROWA POLEGAJĄCA NA BUDOWIE CHODNIKA 
NA ODCINKU OD 0+000 DO KM 0+490 W M. BĘDZIEMYŚL</t>
  </si>
  <si>
    <t>01.02.04.45</t>
  </si>
  <si>
    <t>Demontaz wiaty przystankowej stalowej do póżniejszego przestawienia. Ponowny montaż bez zmiany lokalizacji wiaty po wykonaniu nawierzchni z kostki brukowej.</t>
  </si>
  <si>
    <r>
      <t>m</t>
    </r>
    <r>
      <rPr>
        <b/>
        <vertAlign val="superscript"/>
        <sz val="10"/>
        <color rgb="FFFF0000"/>
        <rFont val="Times New Roman"/>
        <family val="1"/>
        <charset val="238"/>
      </rPr>
      <t>2</t>
    </r>
  </si>
  <si>
    <r>
      <t>m</t>
    </r>
    <r>
      <rPr>
        <vertAlign val="superscript"/>
        <sz val="10"/>
        <color rgb="FFFF0000"/>
        <rFont val="Times New Roman"/>
        <family val="1"/>
        <charset val="238"/>
      </rPr>
      <t>2</t>
    </r>
  </si>
  <si>
    <t>Wykonanie nawierzchni z betonu asfaltowego AC11S warstwa ścieralna, gr. w-wy 5 cm</t>
  </si>
  <si>
    <t xml:space="preserve">Wykonanie frezowania nawierzchni asfaltowych na zimno: śr gr. w-wy 4cm </t>
  </si>
  <si>
    <t>Ułożenie warstwy wzmacniającej z geosiatki (wytrzymałość długotrwała w obu kierunkach  100kN/m i e &lt;=3%) na połączeniu istn. nawierzchni DP z proj. poszerzeniem oraz nakładką.</t>
  </si>
  <si>
    <t>t</t>
  </si>
  <si>
    <t>Ułożenie przepustu pod zjazdem indywidualnym, rury PP o średnicy ø60cm</t>
  </si>
  <si>
    <t>Czyszczenie przepustu pod zjazdami, rury o średnicy ø60cm</t>
  </si>
  <si>
    <t>Czyszczenie istniejących przepustów pod wiatą autobusową w km 0+023, zjazdem indywidualnym w km 0+280 oraz dojściem do furtki w km 0+445.</t>
  </si>
  <si>
    <t>Czyszczenie urzadzeń odwadniejących (przepusty, kanalizacja deszczowa, ścieki)</t>
  </si>
  <si>
    <t>Oczyszczenie i skropienie emulsją asfaltową warstw konstrukcyjnych nieulepszonych mechanicznie na poszerzeniach jezdni.</t>
  </si>
  <si>
    <t>Oczyszczenie i skropienie emulsją asfaltową warstw konstrukcyjnych ulepszonych mechanicznie na poszerzeniach jezdni.</t>
  </si>
  <si>
    <r>
      <t xml:space="preserve">ELEMENTY ULIC
</t>
    </r>
    <r>
      <rPr>
        <sz val="10"/>
        <color rgb="FFFF0000"/>
        <rFont val="Times New Roman"/>
        <family val="1"/>
        <charset val="238"/>
      </rPr>
      <t>Roboty w zakresie konstruowania, fundamentowania oraz wykonywania nawierzchni dróg</t>
    </r>
  </si>
  <si>
    <t>Wykonanie podbudowy z kruszywa łamanego 0/31,5mm stabilizowanego mechanicznie, gr. w-wy 20cm</t>
  </si>
  <si>
    <t>Wykonanie w-wy podbudowy z kruszywa łamanego 0/31,5 mm stabilizowanego mechanicznie o gr. 20cm - konstrukcja poszerzenia jezdni Drogi Powiatowej, uzupełnienia konstrukcji po likwidacji i wykonaniu rur pod jezdnią DP oraz konstrukcji zjazdów indywidualnych o nawierzchni bitumicznej.</t>
  </si>
  <si>
    <t>Wykonanie w-wy podbudowy z kruszywa łamanego 0/63 mm stabilizowanego mechanicznie o gr. 15cm - chodnik na szlaku wg. wykazu w zał. nr 1 do Przedmiaru Robót.</t>
  </si>
  <si>
    <t>Wykonanie nawierzchni z betonu asfaltowego AC warstwa wyrównawcza/profilowa,  gr. w-wy 2 - 10 cm</t>
  </si>
  <si>
    <t>Wykonanie nawierzchni z betonu asfaltowego AC 16W, warstwa wyrównawcza,  
gr. w-wy 2 -10 cm na jezdni drogi powiatowej w miejscu nakładki.</t>
  </si>
  <si>
    <t>Zacięcie piłą na połączeniu z istniejącą nawierzchnią bitumiczną drogi powiatowej (projektowane poszerzenie) oraz w miejscu projektowanej nakładki.</t>
  </si>
  <si>
    <t>Wykonanie frezowania nawierzchni asfaltowych o śr. gr. warstwy 4cm na połączeniu z istniejącą nawierzchnią bitumiczną drogi powiatowej (projektowane poszerzenie) oraz w miejscu projektowanej nakładki. Sposób zagospodarowania materiału z rozbiórki wg. ustaleń z Zarządcą drogi.</t>
  </si>
  <si>
    <t>Rozebranie istniejących zjazdów o nawierzchni z betonu, gr. w-wy 10cm</t>
  </si>
  <si>
    <t>Wykonanie nawierzchni z kolorowej betonowej kostki brukowej o gr. 6 i 8 cm na podsypce cementowo-piaskowej o gr. 3cm. Dostosowanie wysokości istniejącego zjazdu indywidualnego do projektowanej nawierzchi drogi powiatowej.</t>
  </si>
  <si>
    <t xml:space="preserve">Wykonanie nawierzchni z betonu asfaltowego AC 11S na poszerzeniu DP oraz w obrębie zjazdu na drogę wewnętrzną w km 0+453,5, gr. w-wy 4 cm. </t>
  </si>
  <si>
    <t>Umocnienie skarp elementami prefabrykowanymi typu L o wym. 80x50x12cm</t>
  </si>
  <si>
    <t>Wykonanie umocnienia skarp prefabrykatami typu L na podsypce cementowo-piaskowej gr.5cm i ławie z kruszywa gr. 20 cm</t>
  </si>
  <si>
    <t>06.01.01.66</t>
  </si>
  <si>
    <t>06.01.01.61</t>
  </si>
  <si>
    <t xml:space="preserve">Ustawienie krawężników betonowych o wymiarach 15x30 cm na ławie betonowej z oporem </t>
  </si>
  <si>
    <t xml:space="preserve">Ustawienie krawężników drogowych betonowych o wym. 15x30cm  "stojące" na podsypce cementowo - piaskowej o gr. 5cm i ławie betonowej C16/20 (V=0,06m3/m). </t>
  </si>
  <si>
    <t>05.03.11.32</t>
  </si>
  <si>
    <t>04.06.01.13</t>
  </si>
  <si>
    <t>04.06.01</t>
  </si>
  <si>
    <t>Mechaniczne usunięcie warstwy ziemi urodzajnej (humusu) o średniej gr. w-wy 15 cm z darniną do późniejszego wykorzystania</t>
  </si>
  <si>
    <t>01.02.02.12</t>
  </si>
  <si>
    <t>Wykonanie podbudowy z betonu cementowego C12/15, gr. w-wy 15cm</t>
  </si>
  <si>
    <t>Wykonanie ulepszonego podłoża z gruntu stabilizowanego spoiwem hydraulicznym (na miejscu), gr. w-wy 10cm</t>
  </si>
  <si>
    <t>Wykonanie warstwy wzmacniającej stabilizowanej spoiwem hydraulicznym 
(na miejscu) o gr. 10cm i wytrzymałości Rm=2,5MPa pod konstrukcję chodnika na zjazdach z kostki brukowej gr. w-wy 10 cm oraz zjazdach za chodnikiem wg. w zał. nr 1 do Przedmiaru Robót.</t>
  </si>
  <si>
    <t>Ścieki z prefabrykowanych elementów betonowych</t>
  </si>
  <si>
    <t>08.05.01</t>
  </si>
  <si>
    <t>08.05.01.11</t>
  </si>
  <si>
    <t>04.05.01.11</t>
  </si>
  <si>
    <t xml:space="preserve">czterysta </t>
  </si>
  <si>
    <t xml:space="preserve">pięćset </t>
  </si>
  <si>
    <t xml:space="preserve">dziesięć tysięcy </t>
  </si>
  <si>
    <t xml:space="preserve">sześćdziesiąt </t>
  </si>
  <si>
    <t xml:space="preserve">osiem </t>
  </si>
  <si>
    <t xml:space="preserve">osiemnaście </t>
  </si>
  <si>
    <t>zł 17/100</t>
  </si>
  <si>
    <t>pięćset dziesięć tysięcy czterysta sześćdziesiąt osiem zł 17/100</t>
  </si>
  <si>
    <t>Wykonanie warstwy z geosiatki w celu zabezpieczenia nawierzchni asfaltowej przed spękaniami na połaczeniu z poszerzeniem jezdni oraz jako wzmocnienie konstrukcji na odcinku nakładki</t>
  </si>
  <si>
    <t>Mechaniczne usunięcie warstwy urodzajnej (humusu) gr. w-wy 15cm  ze złożeniem na placu Wykonawcy. Humus do późniejszego wykorzystania (proj. grubość humusu 10cm). Miejsce składowania zapewnia Wykonawca. Średnia grubość w-wy darniny 10cm. Nadmiar humusu oraz darnina przechodzi na własność Wykonawcy.</t>
  </si>
  <si>
    <t>04.01.01.13</t>
  </si>
  <si>
    <t xml:space="preserve">Wykonanie koryta pod konstrukcję jezdni drogi gminnej i zjazdów gr. kat I-VI 
śr. głębokość koryta ok 30cm. </t>
  </si>
  <si>
    <t>04.04.04</t>
  </si>
  <si>
    <t xml:space="preserve">wg. Rysunku Plan Sytuacyjny i Przekroje typowe </t>
  </si>
  <si>
    <t>Rozebranie nawierzchni kruszywowych oraz gruntowo - kruszywowych istniejącej nawierzchni. Utylizacja materiaów z rozbiórki w gestii Wykonawcy.</t>
  </si>
  <si>
    <t>Ścinanie i uzupełnianie poboczy</t>
  </si>
  <si>
    <t>06.03.01</t>
  </si>
  <si>
    <t>06.03.01.32</t>
  </si>
  <si>
    <t>Wykonanie wykopów mechanicznie w gr. kat. I-V z transportem urobku na odkład. Wykonanie wykopów pod konstrukcje jezdni drogi wewnętrznej. Nadmiar gruntu (grunt nieprzydatny) przechodzi na własność Wykonawcy. Wykonawca zapewni transport i utylizację materiału nieprzydatnego.</t>
  </si>
  <si>
    <t xml:space="preserve">Wykonanie nawierzchni z betonu asfaltowego AC 16W na jezdni drogi wewnętrznej oraz na zjazdach indywidualnych, gr. w-wy 4 cm. </t>
  </si>
  <si>
    <t xml:space="preserve">Wykonanie nawierzchni z betonu asfaltowego AC 11S na jezdni drogi wewnętrnej oraz na zjazdach indywidualnych, gr. w-wy 4 cm. </t>
  </si>
  <si>
    <t>Wykonanie warstwy wzmacniającej stabilizowanej spoiwem hydraulicznym 
 (na miejscu) o gr. 30cm i wytrzymałości Rm=2,5MPa pod konstrukcję jezdni drogi wewnętrznej.</t>
  </si>
  <si>
    <t>Wykonanie w-wy podbudowy z tłucznia kamiennego stabilizowanego mechanicznie o gr. 20cm pod konstrukcje jezdni drogi wewnętrznej oraz na zjazdach indywidualnych.</t>
  </si>
  <si>
    <t xml:space="preserve">Humusowanie z obsianiem terenu po za jezdnią przy grubości humusu 10 cm. Humus uprzednio usunięty i zmagazynowany przez Wykonawcę. Wykonawca pozyska  nasiona traw własnym staraniem i na własny koszt. </t>
  </si>
  <si>
    <t>04.04.04.11</t>
  </si>
  <si>
    <t>04.05.01.33</t>
  </si>
  <si>
    <t>Wykonanie koryta mechanicznie wraz z profilowaniem i zagęszczaniem podłoża w gr. kat I-VI, głębokość koryta 30cm</t>
  </si>
  <si>
    <t xml:space="preserve">Wartość robót netto 
(PLN) </t>
  </si>
  <si>
    <t xml:space="preserve">Wartość robót brutto
(PLN) </t>
  </si>
  <si>
    <t>11.</t>
  </si>
  <si>
    <t>13.</t>
  </si>
  <si>
    <t>14.</t>
  </si>
  <si>
    <t>16.</t>
  </si>
  <si>
    <t>17.</t>
  </si>
  <si>
    <t>18.</t>
  </si>
  <si>
    <t>19.</t>
  </si>
  <si>
    <t>Nawsie do Drozd  odcinek długości 85 mb na działce ewid. nr 4439/1, 4428/1,  wraz z remontem zjazdu z drogi powiatowej Nr 1337R</t>
  </si>
  <si>
    <t>Nawsie k. Brzoza odcinek długości 90 mb na działce ewid. nr 4421,  wraz z remontem zjazdu  z drogi powiatowej Nr 1337R</t>
  </si>
  <si>
    <t xml:space="preserve"> Nawsie k. Tabasz odcinek długości 55 mb na działce ewid. nr 4388/2</t>
  </si>
  <si>
    <t>Nawsie k. Zych odcinek długości 116 mb  na działce ewid. nr 4332/1,  wraz z remontem zjazdu z drogi powiatowej Nr 1337R</t>
  </si>
  <si>
    <t>Nawsie k. Kut odcinek długości 150 mb na działce ewid. nr 4249,  wraz z remontem zjazdu z drogi powiatowej Nr 1337R</t>
  </si>
  <si>
    <t>Nawsie na Kowala odcinek długości 400 mb na działce ewid. nr 2411 i 2421/2, 2395</t>
  </si>
  <si>
    <t xml:space="preserve"> Nawsie Zabirów na Podleśną odcinek długości 120 mb na działce ewid. nr 2610/2, 2607</t>
  </si>
  <si>
    <t>Nawsie Wleźniówka odcinek długości ok. 167 mb na działce ewid. nr 3495, wraz z remontem zjazdu z drogi powiatowej Nr 1337</t>
  </si>
  <si>
    <r>
      <t xml:space="preserve">Nawsie k. Bykowski odcinek długości 90 mb </t>
    </r>
    <r>
      <rPr>
        <b/>
        <sz val="9"/>
        <color indexed="8"/>
        <rFont val="Arial"/>
        <family val="2"/>
        <charset val="238"/>
      </rPr>
      <t>na działce ewid. nr 4398, wraz z remontem zjazdu z drogi powiatowej Nr 1337R</t>
    </r>
  </si>
  <si>
    <t xml:space="preserve">OGÓŁEM WARTOŚĆ KOSZTORYSOWA ROBÓT </t>
  </si>
  <si>
    <t>REMONT DROGI WEWNĘTRZNEJ (ROBOTY DROGOWE)</t>
  </si>
  <si>
    <t xml:space="preserve">Wykonanie ulepszonego podłoża z gruntu stabilizowanego cementem 
(na miejscu) z doziarnieiem kruszywem z rozbiórki istn. nawierzchni i podbudowy, gr. w-wy 20 cm </t>
  </si>
  <si>
    <t>05.03.05.27</t>
  </si>
  <si>
    <t>Mechaniczne rozebranie istniejącej nawierzchni z kruszywa, gr. w-wy 10cm z przeznaczeniem do wykorzystania na miejscu jako dozizarnie warstw ulepszonego podłoża oraz uzupełnienie poboczy</t>
  </si>
  <si>
    <t>Rozebranie nawierzchni z drobnowymiarowych elementów betonowych takich jak kostka brukowa płyty ażurowe oraz trylinka</t>
  </si>
  <si>
    <t>Wykonanie koryta mechanicznie wraz z profilowaniem i zagęszczaniem podłoża w gr. kat I-VI, głębokość koryta 20cm</t>
  </si>
  <si>
    <t>Wykonanie umocnienia dna rowów elementami prefabrykowanymi typu mulda o szer. min 40 cm na podsypce cementowo piaskowej gr. 10 cm</t>
  </si>
  <si>
    <t>Uzupełnianie poboczy kruszywem kamiennym śr. gr. w-wy 6 cm</t>
  </si>
  <si>
    <t>RAZEM WARTOŚĆ ROBÓT NETTO</t>
  </si>
  <si>
    <t>Usunięcie drzew i krzewów</t>
  </si>
  <si>
    <t>Usunięcie zakrzaczeń karczowanie roślinnosci niskiej w tym drobnych samosiejek drze o obwodzie pnia do 20 cm w obrębie działki drogowej wraz z utylizacją materiału z wycinki</t>
  </si>
  <si>
    <t>Uzupełnianie poboczy kruszywem kamiennym (materiał z rozbiórki istn nawierzchni) śr. gr. w-wy 6 cm</t>
  </si>
  <si>
    <t>Mechaniczne usunięcie warstwy ziemi urodzajnej (humusu) o średniej gr. w-wy 15 cm z darniną zagospodarowanie nadmiaru humusu w gestii Wykonawcy</t>
  </si>
  <si>
    <t xml:space="preserve">Rozebranie nawierzchni z mieszanek mineralno-bitumicznych, gr. w-wy 5cm </t>
  </si>
  <si>
    <t>Mechaniczne rozebranie istniejącej nawierzchni i podbudowy z kruszywa, gr. w-wy 10cm z przeznaczeniem do wykorzystania na miejscu jako  uzupełnienie poboczy. Uylitzacja nadmiaru materiału z rozbiórki w gestii Wykonawcy</t>
  </si>
  <si>
    <t>Wykonanie nawierzchni z kruszywa łamanego 0/32mm, gr. w-wy do 10cm - uzupełenie i dostosowanie nawierzchni zjazdów do proj. jezdni</t>
  </si>
  <si>
    <t>8</t>
  </si>
  <si>
    <t>Wykonanie warstwy odcinającej z piasku gruboziarnistego, gr. w-wy po zagęszczeniu 10cm</t>
  </si>
  <si>
    <t>Warstwy odsączające i separacyjne</t>
  </si>
  <si>
    <t>4</t>
  </si>
  <si>
    <t>Wykonanie koryta pod poszerzenie jezdni mechanicznie wraz z profilowaniem i zagęszczaniem podłoża w gr. kat I-VI, głębokość koryta 20cm</t>
  </si>
  <si>
    <t>Uzupełenienie profilowania i zagęszczeczenie sposobem mechanicznym istn. nawierzchni tłuczniowej oraz ułozenie warstw kruszywa łamanego 0/32mm na calej szerokości drogi średnia gr. w-wy 15cm</t>
  </si>
  <si>
    <t>04.04.04.05</t>
  </si>
  <si>
    <t>9</t>
  </si>
  <si>
    <t>4. Nawsie do Drozd  odcinek długości 85 mb na działce ewid. nr 4439/1, 4428/1,  wraz z remontem zjazdu z drogi powiatowej Nr 1337R</t>
  </si>
  <si>
    <t>5. Nawsie k. Brzoza odcinek długości 90 mb na działce ewid. nr 4421,  wraz z remontem zjazdu  z drogi powiatowej Nr 1337R</t>
  </si>
  <si>
    <t>Długość</t>
  </si>
  <si>
    <t xml:space="preserve">Nawsie k. Kiebały odcinek długości 240 na działce ewid. nr 4388/1, wraz z remontem zjazdu z drogi powiatowej Nr 1337R </t>
  </si>
  <si>
    <t>2.  Nawsie k. Bykowski odcinek długości 90 mb na działce ewid. nr 4398, wraz z remontem zjazdu z drogi powiatowej Nr 1337R</t>
  </si>
  <si>
    <t xml:space="preserve">7.  Nawsie k. Kiebały odcinek długości 240 na działce ewid. nr 4388/1, wraz z remontem zjazdu z drogi powiatowej Nr 1337R </t>
  </si>
  <si>
    <t>Uzupełenienie profilowania i zagęszczeczenie sposobem mechanicznym istn. nawierzchni tłuczniowej oraz ułozenie warstw kruszywa łamanego 0/32mm na calej szerokości średnia gr. w-wy 15cm</t>
  </si>
  <si>
    <t>8. Nawsie k. Tabasz odcinek długości 55 mb na działce ewid. nr 4388/2</t>
  </si>
  <si>
    <t>7</t>
  </si>
  <si>
    <t>9.  Nawsie k. Zych odcinek długości 116 mb  na działce ewid. nr 4332/1,  wraz z remontem zjazdu z drogi powiatowej Nr 1337R</t>
  </si>
  <si>
    <t>Nawsie Folwark na Śledzionę odcinek długości 147 mb na działce ewid. nr 3190</t>
  </si>
  <si>
    <t>Uzupełenienie profilowania i zagęszczeczenie sposobem mechanicznym istn. nawierzchni tłuczniowej warstwą kruszywa łamanego 0/32mm na calej szerokości drogi średnia gr. w-wy 8 cm</t>
  </si>
  <si>
    <t xml:space="preserve">Rozebranie nawierzchni z mieszanek mineralno-bitumicznych, gr. w-wy 5 cm </t>
  </si>
  <si>
    <t>19.  Nawsie Wleźniówka odcinek długości ok. 167 mb na działce ewid. nr 3495, wraz z remontem zjazdu z drogi powiatowej Nr 1337</t>
  </si>
  <si>
    <t>3.  Nawsie k. Gac odcinek  długości 150 mb na działce ewid. nr 4430</t>
  </si>
  <si>
    <t>Nawsie k. Gac odcinek  długości 150 mb na działce ewid. nr 4430</t>
  </si>
  <si>
    <t>Wykonanie wykopów mechanicznie w gr. kat. I-V z transportem urobku na odległość do 5 km - oczyszczenie i kształtowanie rowów drogowych</t>
  </si>
  <si>
    <t>Nawsie do Sypień odcinek długości 64 mb na działce ewid. nr 2098/3, 2097/1, 2100</t>
  </si>
  <si>
    <t>18.  Nawsie do Sypień odcinek długości 64 mb na działce ewid. nr 2098/3, 2097/1, 2100</t>
  </si>
  <si>
    <t>17.   Nawsie Zabirów na Podleśną odcinek długości 120 mb na działce ewid. nr 2610/2, 2607</t>
  </si>
  <si>
    <t>14.   Nawsie Folwark na Śledzionę odcinek długości 147 mb na działce ewid. nr 3190</t>
  </si>
  <si>
    <t>Rozebranie drobnowymiarowych elementów betonowych - płyty ażurowe 60 x 40 x 8 cm</t>
  </si>
  <si>
    <t>01.02.04.65</t>
  </si>
  <si>
    <t>Rozebranie nawierzchni z betonowych płyt drogowych, załadunek i transport płyt w miejsce uzgodnione z Inwestorem na odleglość do 10 km</t>
  </si>
  <si>
    <t>Wykonanie wykopów mechanicznie w gr. kat. I-V z transportem urobku na odległość do 5 km - oczyszczenie i kształtowanie rowów drogowych oraz skarp</t>
  </si>
  <si>
    <t>Wykonanie koryta mechanicznie wraz z profilowaniem i zagęszczaniem podłoża w gr. kat I-VI, głębokość koryta do 50 cm</t>
  </si>
  <si>
    <t>Wykonanie koryta mechanicznie wraz z profilowaniem i zagęszczaniem podłoża w gr. kat I-VI, głębokość koryta do 20 cm</t>
  </si>
  <si>
    <t>04.01.01.25</t>
  </si>
  <si>
    <t>12.  Nawsie na Kowala odcinek długości 400 mb na działce ewid. nr 2411 i 2421/2, 2395</t>
  </si>
  <si>
    <t>10</t>
  </si>
  <si>
    <t>10.  Nawsie k. Kut odcinek długości 150 mb na działce ewid. nr 4249,  wraz z remontem zjazdu z drogi powiatowej Nr 1337R</t>
  </si>
  <si>
    <t>Rozebranie drobnowymiarowych elementów betonowych -płyty ażurowe</t>
  </si>
  <si>
    <t>Rozebranie elementów odwodnienia - korytka betonowe typu mulda</t>
  </si>
  <si>
    <t>Rozebranie drobnowymiarowych elementów betonowych - betonowe podkłady kolejowe, załadunek i transport w miejsce uzgodnione z Inwestorem na odleglość do 5 km</t>
  </si>
  <si>
    <t>Umocnienie skarp betonowymi prefabrykatami ażurowymi typu krata 60x40x8 na podsypce cementowo piaskowej gr. 5 cm</t>
  </si>
  <si>
    <t>Wykonanie ścieków muldowych lub trujkątnych 40x50x12cm (lub zblizone) na ławie betonowej z oporem</t>
  </si>
  <si>
    <t>Wykonanie podbudowy z kruszywa naturlanego z pospołki lub mieszanki piaskowo - żwirowej, gr. w-wy 20cm w miejscu wykonanego koryta pod poszerzenie jezdni</t>
  </si>
  <si>
    <t>04.04.04.04</t>
  </si>
  <si>
    <t>OPIS / LOKALZIACJA OCINKA</t>
  </si>
  <si>
    <t>Nawsie Ścieżki k. Balicki odcinek długości ok 220 mb na działce ewid. nr 3894</t>
  </si>
  <si>
    <t>Nawsie k. Sitnik odcinek długości 74 m na działce ewid. nr 4188 wraz z remontem zjazdu z drogi powiatowej  Nr 1337R oraz Nawsie k. Książek odcinek długości 115 mb na działce  ewid. nr 4172</t>
  </si>
  <si>
    <t>11.  Nawsie k. Sitnik odcinek długości 74 m na działce ewid. nr 4188 wraz z remontem zjazdu z drogi powiatowej  Nr 1337R oraz Nawsie k. Książek odcinek długości 115 mb na działce  ewid. nr 4172</t>
  </si>
  <si>
    <t xml:space="preserve">13.  Nawsie Ścieżki k.Balicki odcinek długości ok 220 mb na działce ewid. nr 3894 </t>
  </si>
  <si>
    <t>Nawsie Kamieniec k. Pas odcinek długości 55 mb na działce ewid. nr 2720</t>
  </si>
  <si>
    <t>20.</t>
  </si>
  <si>
    <t>20. Nawsie Kamieniec k. Pas odcinek długości ok. 55 mb na działce ewid. nr 2720</t>
  </si>
  <si>
    <t xml:space="preserve">Nawsie na Skocznię odcinek długości 700 mb na działce ewid. nr 1134/3 </t>
  </si>
  <si>
    <t xml:space="preserve">16. Nawsie na Skocznię odcinek długości 700 mb na działce ewid. nr 1134/3 </t>
  </si>
  <si>
    <t>Nawierzchnie z betonu asfaltowego</t>
  </si>
  <si>
    <t>Wykonanie nawierzchni drogi wewnętrznejz mieszanki mastyksowo-grysowej lub  z betonu asfaltowego AC11  gr. w-wy 6 cm</t>
  </si>
  <si>
    <t>Wykonanie nawierzchni drogi wewnętrznejz mieszanki mastyksowo-grysowej lub z mieszanki mastyksowo-grysowej lub  z betonu asfaltowego AC11  gr. w-wy 6 cm</t>
  </si>
  <si>
    <t xml:space="preserve"> z betonu asfaltowego AC11 </t>
  </si>
  <si>
    <t>ZBIORCZE ZESTAWIENIE KOSZTÓW dot. "Przebudowa dróg gminnych i wewnętrznych na terenie wsi Nawsie w gminie Wielopole Skrzyńskie"</t>
  </si>
  <si>
    <t>RRz.271.19.2023</t>
  </si>
  <si>
    <t>KOSZTORYS OFERTOWY - RRz.271.19.2023</t>
  </si>
  <si>
    <t>OFERTA DODATKOWA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</si>
</sst>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zł&quot;;\-#,##0.00\ &quot;zł&quot;"/>
    <numFmt numFmtId="43" formatCode="_-* #,##0.00\ _z_ł_-;\-* #,##0.00\ _z_ł_-;_-* &quot;-&quot;??\ _z_ł_-;_-@_-"/>
    <numFmt numFmtId="164" formatCode="0#\.##\.##\.##\."/>
    <numFmt numFmtId="165" formatCode="0.0"/>
    <numFmt numFmtId="166" formatCode="##\.##\.##\.00\."/>
    <numFmt numFmtId="167" formatCode="dd\.mm\.yyyy"/>
    <numFmt numFmtId="168" formatCode="00\-000"/>
    <numFmt numFmtId="169" formatCode="_-* #,##0.00\ _z_ł_-;\-* #,##0.00\ _z_ł_-;_-* \-??\ _z_ł_-;_-@_-"/>
    <numFmt numFmtId="170" formatCode="#,##0.000"/>
  </numFmts>
  <fonts count="10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9"/>
      <color indexed="48"/>
      <name val="Times New Roman"/>
      <family val="1"/>
      <charset val="238"/>
    </font>
    <font>
      <sz val="8"/>
      <color indexed="48"/>
      <name val="Times New Roman"/>
      <family val="1"/>
      <charset val="238"/>
    </font>
    <font>
      <b/>
      <i/>
      <sz val="28"/>
      <name val="Arial"/>
      <family val="2"/>
      <charset val="238"/>
    </font>
    <font>
      <i/>
      <sz val="10"/>
      <name val="Arial"/>
      <family val="2"/>
      <charset val="238"/>
    </font>
    <font>
      <i/>
      <sz val="14"/>
      <name val="Arial"/>
      <family val="2"/>
      <charset val="238"/>
    </font>
    <font>
      <b/>
      <i/>
      <sz val="16"/>
      <name val="Arial"/>
      <family val="2"/>
      <charset val="238"/>
    </font>
    <font>
      <sz val="10"/>
      <name val="Arial CE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i/>
      <sz val="12"/>
      <name val="Arial"/>
      <family val="2"/>
      <charset val="238"/>
    </font>
    <font>
      <b/>
      <i/>
      <sz val="24"/>
      <name val="Arial"/>
      <family val="2"/>
      <charset val="238"/>
    </font>
    <font>
      <b/>
      <i/>
      <u/>
      <sz val="12"/>
      <name val="Arial"/>
      <family val="2"/>
      <charset val="238"/>
    </font>
    <font>
      <b/>
      <i/>
      <u/>
      <sz val="11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name val="Czcionka tekstu podstawowego"/>
      <charset val="238"/>
    </font>
    <font>
      <b/>
      <sz val="12"/>
      <name val="Arial CE"/>
      <charset val="238"/>
    </font>
    <font>
      <i/>
      <sz val="10"/>
      <name val="MS Sans Serif"/>
      <family val="2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b/>
      <sz val="10"/>
      <name val="Czcionka tekstu podstawowego"/>
      <charset val="238"/>
    </font>
    <font>
      <i/>
      <sz val="10"/>
      <name val="Czcionka tekstu podstawowego"/>
      <charset val="238"/>
    </font>
    <font>
      <b/>
      <u/>
      <sz val="10"/>
      <name val="Arial CE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b/>
      <sz val="11"/>
      <name val="Arial CE"/>
      <charset val="238"/>
    </font>
    <font>
      <sz val="8"/>
      <name val="Arial CE"/>
      <family val="2"/>
      <charset val="238"/>
    </font>
    <font>
      <u/>
      <sz val="10"/>
      <name val="Arial CE"/>
      <charset val="238"/>
    </font>
    <font>
      <sz val="9"/>
      <name val="Arial CE"/>
      <charset val="238"/>
    </font>
    <font>
      <vertAlign val="superscript"/>
      <sz val="9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i/>
      <u/>
      <sz val="10"/>
      <name val="Arial CE"/>
      <charset val="238"/>
    </font>
    <font>
      <sz val="16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Symbol"/>
      <family val="1"/>
      <charset val="2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vertAlign val="superscript"/>
      <sz val="10"/>
      <color indexed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sz val="10"/>
      <color indexed="10"/>
      <name val="Czcionka tekstu podstawowego"/>
      <charset val="238"/>
    </font>
    <font>
      <i/>
      <vertAlign val="superscript"/>
      <sz val="10"/>
      <color indexed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Arial CE"/>
      <charset val="238"/>
    </font>
    <font>
      <sz val="10"/>
      <color theme="0" tint="-0.249977111117893"/>
      <name val="Arial CE"/>
      <charset val="238"/>
    </font>
    <font>
      <b/>
      <sz val="10"/>
      <color theme="0" tint="-0.249977111117893"/>
      <name val="Arial CE"/>
      <charset val="238"/>
    </font>
    <font>
      <sz val="10"/>
      <color rgb="FFFF0000"/>
      <name val="Arial CE"/>
      <charset val="238"/>
    </font>
    <font>
      <i/>
      <sz val="10"/>
      <color rgb="FFFF0000"/>
      <name val="MS Sans Serif"/>
      <family val="2"/>
      <charset val="238"/>
    </font>
    <font>
      <i/>
      <sz val="10"/>
      <color rgb="FFFF0000"/>
      <name val="Times New Roman"/>
      <family val="1"/>
      <charset val="238"/>
    </font>
    <font>
      <b/>
      <sz val="10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2"/>
      <color rgb="FFFF0000"/>
      <name val="Arial CE"/>
      <charset val="238"/>
    </font>
    <font>
      <b/>
      <i/>
      <sz val="24"/>
      <color rgb="FFFF0000"/>
      <name val="Arial"/>
      <family val="2"/>
      <charset val="238"/>
    </font>
    <font>
      <b/>
      <sz val="10"/>
      <color rgb="FF00B050"/>
      <name val="Arial CE"/>
      <charset val="238"/>
    </font>
    <font>
      <sz val="10"/>
      <color rgb="FF00B050"/>
      <name val="Arial CE"/>
      <charset val="238"/>
    </font>
    <font>
      <sz val="10"/>
      <color indexed="8"/>
      <name val="Arial"/>
      <family val="2"/>
    </font>
    <font>
      <sz val="10"/>
      <color theme="1"/>
      <name val="Times New Roman"/>
      <family val="1"/>
      <charset val="238"/>
    </font>
    <font>
      <sz val="11"/>
      <color rgb="FF1F497D"/>
      <name val="Calibri"/>
      <family val="2"/>
      <charset val="238"/>
    </font>
    <font>
      <sz val="10"/>
      <color rgb="FFFF0000"/>
      <name val="MS Sans Serif"/>
      <family val="2"/>
      <charset val="238"/>
    </font>
    <font>
      <b/>
      <sz val="8"/>
      <name val="Times New Roman"/>
      <family val="1"/>
      <charset val="238"/>
    </font>
    <font>
      <sz val="11"/>
      <name val="Times New Roman CE"/>
      <charset val="238"/>
    </font>
    <font>
      <sz val="8"/>
      <name val="Arial CE"/>
      <charset val="238"/>
    </font>
    <font>
      <b/>
      <sz val="10"/>
      <color theme="1"/>
      <name val="Times New Roman"/>
      <family val="1"/>
      <charset val="238"/>
    </font>
    <font>
      <vertAlign val="superscript"/>
      <sz val="10"/>
      <color rgb="FFFF0000"/>
      <name val="Times New Roman"/>
      <family val="1"/>
      <charset val="238"/>
    </font>
    <font>
      <b/>
      <vertAlign val="superscript"/>
      <sz val="10"/>
      <color rgb="FFFF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rgb="FFBFBFBF"/>
      <name val="Arial CE"/>
      <charset val="238"/>
    </font>
    <font>
      <b/>
      <sz val="10"/>
      <color rgb="FFBFBFBF"/>
      <name val="Arial CE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4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rgb="FFCCFFFF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63">
    <xf numFmtId="0" fontId="0" fillId="0" borderId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22" fillId="0" borderId="0"/>
    <xf numFmtId="0" fontId="18" fillId="0" borderId="0"/>
    <xf numFmtId="0" fontId="15" fillId="0" borderId="0"/>
    <xf numFmtId="0" fontId="14" fillId="0" borderId="0"/>
    <xf numFmtId="43" fontId="16" fillId="0" borderId="0" applyFont="0" applyFill="0" applyBorder="0" applyAlignment="0" applyProtection="0"/>
    <xf numFmtId="0" fontId="16" fillId="0" borderId="0"/>
    <xf numFmtId="43" fontId="14" fillId="0" borderId="0" applyFont="0" applyFill="0" applyBorder="0" applyAlignment="0" applyProtection="0"/>
    <xf numFmtId="0" fontId="86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6" fillId="0" borderId="0"/>
    <xf numFmtId="43" fontId="18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86" fillId="0" borderId="0"/>
    <xf numFmtId="0" fontId="18" fillId="0" borderId="0" applyNumberFormat="0" applyFont="0" applyFill="0" applyBorder="0" applyAlignment="0" applyProtection="0">
      <alignment vertical="top"/>
    </xf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1" fillId="0" borderId="2">
      <alignment horizontal="center"/>
    </xf>
    <xf numFmtId="0" fontId="96" fillId="0" borderId="0"/>
    <xf numFmtId="169" fontId="96" fillId="0" borderId="0" applyBorder="0" applyProtection="0"/>
    <xf numFmtId="169" fontId="96" fillId="0" borderId="0" applyBorder="0" applyProtection="0"/>
    <xf numFmtId="0" fontId="86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9" fontId="96" fillId="0" borderId="0" applyBorder="0" applyProtection="0"/>
    <xf numFmtId="169" fontId="96" fillId="0" borderId="0" applyBorder="0" applyProtection="0"/>
    <xf numFmtId="0" fontId="96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86" fillId="0" borderId="0"/>
    <xf numFmtId="43" fontId="16" fillId="0" borderId="0" applyFont="0" applyFill="0" applyBorder="0" applyAlignment="0" applyProtection="0"/>
    <xf numFmtId="0" fontId="2" fillId="0" borderId="0"/>
    <xf numFmtId="9" fontId="16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1194">
    <xf numFmtId="0" fontId="0" fillId="0" borderId="0" xfId="0"/>
    <xf numFmtId="0" fontId="17" fillId="0" borderId="0" xfId="0" applyFont="1" applyAlignment="1">
      <alignment vertical="center"/>
    </xf>
    <xf numFmtId="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38" fontId="20" fillId="0" borderId="0" xfId="6" applyNumberFormat="1" applyFont="1" applyAlignment="1">
      <alignment horizontal="left" vertical="center"/>
    </xf>
    <xf numFmtId="0" fontId="20" fillId="0" borderId="0" xfId="6" applyFont="1" applyAlignment="1">
      <alignment horizontal="left" vertical="center"/>
    </xf>
    <xf numFmtId="167" fontId="20" fillId="0" borderId="0" xfId="6" applyNumberFormat="1" applyFont="1" applyAlignment="1">
      <alignment horizontal="left" vertical="center"/>
    </xf>
    <xf numFmtId="167" fontId="17" fillId="0" borderId="0" xfId="6" applyNumberFormat="1" applyFont="1" applyAlignment="1">
      <alignment horizontal="left" vertical="center"/>
    </xf>
    <xf numFmtId="0" fontId="17" fillId="0" borderId="0" xfId="6" applyFont="1" applyAlignment="1">
      <alignment horizontal="left" vertical="center"/>
    </xf>
    <xf numFmtId="4" fontId="20" fillId="0" borderId="0" xfId="6" applyNumberFormat="1" applyFont="1" applyAlignment="1">
      <alignment horizontal="center" vertical="center"/>
    </xf>
    <xf numFmtId="0" fontId="20" fillId="0" borderId="0" xfId="6" applyFont="1" applyAlignment="1">
      <alignment horizontal="left"/>
    </xf>
    <xf numFmtId="0" fontId="19" fillId="0" borderId="0" xfId="0" applyFont="1" applyAlignment="1">
      <alignment vertical="center"/>
    </xf>
    <xf numFmtId="0" fontId="20" fillId="2" borderId="0" xfId="6" applyFont="1" applyFill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167" fontId="20" fillId="0" borderId="0" xfId="6" applyNumberFormat="1" applyFont="1" applyAlignment="1">
      <alignment horizontal="left"/>
    </xf>
    <xf numFmtId="4" fontId="19" fillId="0" borderId="1" xfId="0" applyNumberFormat="1" applyFont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11" borderId="3" xfId="5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vertical="top" wrapText="1"/>
    </xf>
    <xf numFmtId="0" fontId="32" fillId="4" borderId="2" xfId="4" applyFont="1" applyFill="1" applyBorder="1" applyAlignment="1">
      <alignment horizontal="center" vertical="center"/>
    </xf>
    <xf numFmtId="0" fontId="34" fillId="0" borderId="2" xfId="4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2" fontId="17" fillId="0" borderId="2" xfId="6" applyNumberFormat="1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2" fontId="17" fillId="0" borderId="0" xfId="0" applyNumberFormat="1" applyFont="1" applyAlignment="1">
      <alignment vertical="center"/>
    </xf>
    <xf numFmtId="2" fontId="20" fillId="0" borderId="0" xfId="6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17" fillId="0" borderId="4" xfId="6" applyNumberFormat="1" applyFont="1" applyBorder="1" applyAlignment="1">
      <alignment horizontal="center" vertical="center"/>
    </xf>
    <xf numFmtId="2" fontId="17" fillId="0" borderId="5" xfId="6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top" wrapText="1"/>
    </xf>
    <xf numFmtId="0" fontId="36" fillId="0" borderId="6" xfId="0" applyFont="1" applyBorder="1" applyAlignment="1">
      <alignment vertical="center" wrapText="1"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left" vertical="top" wrapText="1"/>
    </xf>
    <xf numFmtId="0" fontId="32" fillId="6" borderId="7" xfId="4" applyFont="1" applyFill="1" applyBorder="1" applyAlignment="1">
      <alignment horizontal="center" vertical="center" wrapText="1"/>
    </xf>
    <xf numFmtId="0" fontId="32" fillId="6" borderId="8" xfId="4" applyFont="1" applyFill="1" applyBorder="1" applyAlignment="1">
      <alignment horizontal="center" vertical="center" wrapText="1"/>
    </xf>
    <xf numFmtId="0" fontId="32" fillId="4" borderId="3" xfId="4" applyFont="1" applyFill="1" applyBorder="1" applyAlignment="1">
      <alignment horizontal="center" vertical="center"/>
    </xf>
    <xf numFmtId="0" fontId="34" fillId="0" borderId="3" xfId="4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0" fontId="20" fillId="12" borderId="0" xfId="6" applyFont="1" applyFill="1" applyAlignment="1">
      <alignment horizontal="left" vertical="center"/>
    </xf>
    <xf numFmtId="0" fontId="19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2" fontId="17" fillId="0" borderId="0" xfId="6" applyNumberFormat="1" applyFont="1" applyAlignment="1">
      <alignment horizontal="center" vertical="center"/>
    </xf>
    <xf numFmtId="2" fontId="20" fillId="12" borderId="0" xfId="6" applyNumberFormat="1" applyFont="1" applyFill="1" applyAlignment="1">
      <alignment horizontal="left" vertical="center"/>
    </xf>
    <xf numFmtId="0" fontId="17" fillId="11" borderId="9" xfId="5" applyFont="1" applyFill="1" applyBorder="1" applyAlignment="1">
      <alignment horizontal="center" vertical="center" wrapText="1"/>
    </xf>
    <xf numFmtId="0" fontId="17" fillId="13" borderId="3" xfId="5" applyFont="1" applyFill="1" applyBorder="1" applyAlignment="1">
      <alignment horizontal="center" vertical="center" wrapText="1"/>
    </xf>
    <xf numFmtId="0" fontId="17" fillId="13" borderId="2" xfId="5" applyFont="1" applyFill="1" applyBorder="1" applyAlignment="1">
      <alignment horizontal="center" vertical="center" wrapText="1"/>
    </xf>
    <xf numFmtId="0" fontId="17" fillId="0" borderId="3" xfId="5" applyFont="1" applyBorder="1" applyAlignment="1">
      <alignment horizontal="center" vertical="center" wrapText="1"/>
    </xf>
    <xf numFmtId="164" fontId="17" fillId="0" borderId="2" xfId="5" applyNumberFormat="1" applyFont="1" applyBorder="1" applyAlignment="1">
      <alignment horizontal="center" vertical="center" wrapText="1"/>
    </xf>
    <xf numFmtId="4" fontId="20" fillId="0" borderId="2" xfId="5" applyNumberFormat="1" applyFont="1" applyBorder="1" applyAlignment="1">
      <alignment horizontal="left" vertical="center" wrapText="1"/>
    </xf>
    <xf numFmtId="2" fontId="20" fillId="0" borderId="2" xfId="5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164" fontId="17" fillId="13" borderId="2" xfId="5" quotePrefix="1" applyNumberFormat="1" applyFont="1" applyFill="1" applyBorder="1" applyAlignment="1">
      <alignment horizontal="center" vertical="center" wrapText="1"/>
    </xf>
    <xf numFmtId="0" fontId="17" fillId="0" borderId="2" xfId="5" applyFont="1" applyBorder="1" applyAlignment="1">
      <alignment horizontal="center" vertical="center" wrapText="1"/>
    </xf>
    <xf numFmtId="164" fontId="17" fillId="0" borderId="2" xfId="5" quotePrefix="1" applyNumberFormat="1" applyFont="1" applyBorder="1" applyAlignment="1">
      <alignment horizontal="center" vertical="center" wrapText="1"/>
    </xf>
    <xf numFmtId="0" fontId="17" fillId="0" borderId="2" xfId="5" applyFont="1" applyBorder="1" applyAlignment="1">
      <alignment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4" fontId="17" fillId="0" borderId="2" xfId="5" applyNumberFormat="1" applyFont="1" applyBorder="1" applyAlignment="1">
      <alignment horizontal="center" vertical="center"/>
    </xf>
    <xf numFmtId="164" fontId="20" fillId="0" borderId="2" xfId="5" quotePrefix="1" applyNumberFormat="1" applyFont="1" applyBorder="1" applyAlignment="1">
      <alignment horizontal="center" vertical="center" wrapText="1"/>
    </xf>
    <xf numFmtId="0" fontId="20" fillId="0" borderId="2" xfId="5" applyFont="1" applyBorder="1" applyAlignment="1">
      <alignment vertical="center" wrapText="1"/>
    </xf>
    <xf numFmtId="0" fontId="20" fillId="0" borderId="2" xfId="5" applyFont="1" applyBorder="1" applyAlignment="1">
      <alignment horizontal="center" vertical="center" wrapText="1"/>
    </xf>
    <xf numFmtId="4" fontId="20" fillId="0" borderId="2" xfId="5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4" fontId="20" fillId="0" borderId="2" xfId="6" applyNumberFormat="1" applyFont="1" applyBorder="1" applyAlignment="1">
      <alignment horizontal="center" vertical="center"/>
    </xf>
    <xf numFmtId="0" fontId="17" fillId="0" borderId="2" xfId="5" quotePrefix="1" applyFont="1" applyBorder="1" applyAlignment="1">
      <alignment vertical="center" wrapText="1"/>
    </xf>
    <xf numFmtId="0" fontId="17" fillId="0" borderId="2" xfId="6" applyFont="1" applyBorder="1" applyAlignment="1">
      <alignment horizontal="center" vertical="center" wrapText="1"/>
    </xf>
    <xf numFmtId="4" fontId="17" fillId="0" borderId="2" xfId="6" applyNumberFormat="1" applyFont="1" applyBorder="1" applyAlignment="1">
      <alignment horizontal="center" vertical="center"/>
    </xf>
    <xf numFmtId="0" fontId="20" fillId="0" borderId="2" xfId="6" applyFont="1" applyBorder="1" applyAlignment="1">
      <alignment horizontal="center" vertical="center" wrapText="1"/>
    </xf>
    <xf numFmtId="166" fontId="17" fillId="0" borderId="2" xfId="6" applyNumberFormat="1" applyFont="1" applyBorder="1" applyAlignment="1">
      <alignment horizontal="center" vertical="center" wrapText="1"/>
    </xf>
    <xf numFmtId="166" fontId="17" fillId="0" borderId="2" xfId="6" quotePrefix="1" applyNumberFormat="1" applyFont="1" applyBorder="1" applyAlignment="1">
      <alignment horizontal="center" vertical="center" wrapText="1"/>
    </xf>
    <xf numFmtId="166" fontId="20" fillId="0" borderId="2" xfId="6" quotePrefix="1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20" fillId="0" borderId="3" xfId="6" applyFont="1" applyBorder="1" applyAlignment="1">
      <alignment horizontal="center" vertical="center" wrapText="1"/>
    </xf>
    <xf numFmtId="0" fontId="17" fillId="0" borderId="3" xfId="6" applyFont="1" applyBorder="1" applyAlignment="1">
      <alignment horizontal="center" vertical="center" wrapText="1"/>
    </xf>
    <xf numFmtId="0" fontId="17" fillId="0" borderId="11" xfId="6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/>
    </xf>
    <xf numFmtId="4" fontId="17" fillId="0" borderId="10" xfId="6" applyNumberFormat="1" applyFont="1" applyBorder="1" applyAlignment="1">
      <alignment horizontal="center" vertical="center"/>
    </xf>
    <xf numFmtId="4" fontId="20" fillId="0" borderId="0" xfId="6" applyNumberFormat="1" applyFont="1" applyAlignment="1">
      <alignment horizontal="left" vertical="center"/>
    </xf>
    <xf numFmtId="0" fontId="72" fillId="0" borderId="0" xfId="6" applyFont="1" applyAlignment="1">
      <alignment horizontal="left" vertical="center"/>
    </xf>
    <xf numFmtId="0" fontId="20" fillId="0" borderId="2" xfId="0" applyFont="1" applyBorder="1" applyAlignment="1">
      <alignment vertical="center"/>
    </xf>
    <xf numFmtId="4" fontId="20" fillId="0" borderId="2" xfId="0" applyNumberFormat="1" applyFont="1" applyBorder="1" applyAlignment="1">
      <alignment horizontal="center" vertical="center"/>
    </xf>
    <xf numFmtId="4" fontId="17" fillId="1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20" fillId="0" borderId="2" xfId="6" applyFont="1" applyBorder="1" applyAlignment="1">
      <alignment horizontal="left" vertical="center"/>
    </xf>
    <xf numFmtId="164" fontId="73" fillId="0" borderId="2" xfId="5" quotePrefix="1" applyNumberFormat="1" applyFont="1" applyBorder="1" applyAlignment="1">
      <alignment horizontal="center" vertical="center" wrapText="1"/>
    </xf>
    <xf numFmtId="0" fontId="17" fillId="0" borderId="2" xfId="5" applyFont="1" applyBorder="1" applyAlignment="1">
      <alignment horizontal="left" vertical="center" wrapText="1"/>
    </xf>
    <xf numFmtId="0" fontId="20" fillId="0" borderId="2" xfId="5" applyFont="1" applyBorder="1" applyAlignment="1">
      <alignment horizontal="left" vertical="center" wrapText="1"/>
    </xf>
    <xf numFmtId="0" fontId="20" fillId="0" borderId="2" xfId="6" applyFont="1" applyBorder="1" applyAlignment="1">
      <alignment horizontal="left" vertical="center" wrapText="1"/>
    </xf>
    <xf numFmtId="0" fontId="17" fillId="0" borderId="2" xfId="6" applyFont="1" applyBorder="1" applyAlignment="1">
      <alignment horizontal="left" vertical="center" wrapText="1"/>
    </xf>
    <xf numFmtId="38" fontId="20" fillId="0" borderId="2" xfId="6" applyNumberFormat="1" applyFont="1" applyBorder="1" applyAlignment="1">
      <alignment horizontal="left" vertical="center"/>
    </xf>
    <xf numFmtId="0" fontId="17" fillId="0" borderId="2" xfId="6" applyFont="1" applyBorder="1" applyAlignment="1">
      <alignment horizontal="left" vertical="center"/>
    </xf>
    <xf numFmtId="0" fontId="17" fillId="0" borderId="2" xfId="6" quotePrefix="1" applyFont="1" applyBorder="1" applyAlignment="1">
      <alignment horizontal="left" vertical="center" wrapText="1"/>
    </xf>
    <xf numFmtId="167" fontId="17" fillId="0" borderId="2" xfId="6" applyNumberFormat="1" applyFont="1" applyBorder="1" applyAlignment="1">
      <alignment horizontal="left" vertical="center"/>
    </xf>
    <xf numFmtId="167" fontId="20" fillId="0" borderId="2" xfId="6" applyNumberFormat="1" applyFont="1" applyBorder="1" applyAlignment="1">
      <alignment horizontal="left" vertical="center"/>
    </xf>
    <xf numFmtId="2" fontId="20" fillId="0" borderId="2" xfId="6" applyNumberFormat="1" applyFont="1" applyBorder="1" applyAlignment="1">
      <alignment horizontal="left" vertical="center"/>
    </xf>
    <xf numFmtId="167" fontId="20" fillId="0" borderId="2" xfId="6" applyNumberFormat="1" applyFont="1" applyBorder="1" applyAlignment="1">
      <alignment horizontal="left"/>
    </xf>
    <xf numFmtId="0" fontId="73" fillId="0" borderId="3" xfId="5" applyFont="1" applyBorder="1" applyAlignment="1">
      <alignment horizontal="center" vertical="center" wrapText="1"/>
    </xf>
    <xf numFmtId="0" fontId="20" fillId="0" borderId="12" xfId="6" applyFont="1" applyBorder="1" applyAlignment="1">
      <alignment horizontal="left" vertical="center" wrapText="1"/>
    </xf>
    <xf numFmtId="0" fontId="20" fillId="0" borderId="12" xfId="6" applyFont="1" applyBorder="1" applyAlignment="1">
      <alignment horizontal="center" vertical="center" wrapText="1"/>
    </xf>
    <xf numFmtId="4" fontId="20" fillId="0" borderId="12" xfId="6" applyNumberFormat="1" applyFont="1" applyBorder="1" applyAlignment="1">
      <alignment horizontal="center" vertical="center"/>
    </xf>
    <xf numFmtId="4" fontId="20" fillId="0" borderId="10" xfId="5" applyNumberFormat="1" applyFont="1" applyBorder="1" applyAlignment="1">
      <alignment horizontal="center" vertical="center"/>
    </xf>
    <xf numFmtId="4" fontId="20" fillId="0" borderId="10" xfId="6" applyNumberFormat="1" applyFont="1" applyBorder="1" applyAlignment="1">
      <alignment horizontal="center" vertical="center"/>
    </xf>
    <xf numFmtId="4" fontId="20" fillId="0" borderId="13" xfId="6" applyNumberFormat="1" applyFont="1" applyBorder="1" applyAlignment="1">
      <alignment horizontal="center" vertical="center"/>
    </xf>
    <xf numFmtId="4" fontId="73" fillId="0" borderId="10" xfId="6" applyNumberFormat="1" applyFont="1" applyBorder="1" applyAlignment="1">
      <alignment horizontal="center" vertical="center"/>
    </xf>
    <xf numFmtId="2" fontId="20" fillId="0" borderId="10" xfId="5" applyNumberFormat="1" applyFont="1" applyBorder="1" applyAlignment="1">
      <alignment horizontal="center" vertical="center" wrapText="1"/>
    </xf>
    <xf numFmtId="0" fontId="32" fillId="4" borderId="9" xfId="4" applyFont="1" applyFill="1" applyBorder="1" applyAlignment="1">
      <alignment horizontal="center" vertical="center"/>
    </xf>
    <xf numFmtId="0" fontId="32" fillId="4" borderId="14" xfId="4" applyFont="1" applyFill="1" applyBorder="1" applyAlignment="1">
      <alignment horizontal="center" vertical="center"/>
    </xf>
    <xf numFmtId="0" fontId="34" fillId="0" borderId="11" xfId="4" applyFont="1" applyBorder="1" applyAlignment="1">
      <alignment horizontal="center" vertical="center"/>
    </xf>
    <xf numFmtId="0" fontId="34" fillId="0" borderId="12" xfId="4" applyFont="1" applyBorder="1" applyAlignment="1">
      <alignment horizontal="center" vertical="center"/>
    </xf>
    <xf numFmtId="0" fontId="32" fillId="6" borderId="15" xfId="4" applyFont="1" applyFill="1" applyBorder="1" applyAlignment="1">
      <alignment horizontal="center" vertical="center" wrapText="1"/>
    </xf>
    <xf numFmtId="4" fontId="32" fillId="4" borderId="16" xfId="4" applyNumberFormat="1" applyFont="1" applyFill="1" applyBorder="1" applyAlignment="1">
      <alignment horizontal="center" vertical="center"/>
    </xf>
    <xf numFmtId="4" fontId="34" fillId="0" borderId="16" xfId="4" applyNumberFormat="1" applyFont="1" applyBorder="1" applyAlignment="1">
      <alignment horizontal="center" vertical="center"/>
    </xf>
    <xf numFmtId="4" fontId="34" fillId="0" borderId="17" xfId="4" applyNumberFormat="1" applyFont="1" applyBorder="1" applyAlignment="1">
      <alignment horizontal="center" vertical="center"/>
    </xf>
    <xf numFmtId="4" fontId="32" fillId="4" borderId="18" xfId="4" applyNumberFormat="1" applyFont="1" applyFill="1" applyBorder="1" applyAlignment="1">
      <alignment horizontal="center" vertical="center"/>
    </xf>
    <xf numFmtId="4" fontId="32" fillId="0" borderId="16" xfId="4" applyNumberFormat="1" applyFont="1" applyBorder="1" applyAlignment="1">
      <alignment horizontal="center" vertical="center"/>
    </xf>
    <xf numFmtId="4" fontId="32" fillId="0" borderId="17" xfId="4" applyNumberFormat="1" applyFont="1" applyBorder="1" applyAlignment="1">
      <alignment horizontal="center" vertical="center"/>
    </xf>
    <xf numFmtId="0" fontId="19" fillId="0" borderId="0" xfId="0" applyFont="1"/>
    <xf numFmtId="165" fontId="20" fillId="0" borderId="0" xfId="0" applyNumberFormat="1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7" fillId="0" borderId="19" xfId="5" applyFont="1" applyBorder="1" applyAlignment="1">
      <alignment horizontal="center" vertical="center" wrapText="1"/>
    </xf>
    <xf numFmtId="164" fontId="17" fillId="0" borderId="20" xfId="5" quotePrefix="1" applyNumberFormat="1" applyFont="1" applyBorder="1" applyAlignment="1">
      <alignment horizontal="center" vertical="center" wrapText="1"/>
    </xf>
    <xf numFmtId="0" fontId="17" fillId="0" borderId="20" xfId="5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4" fontId="17" fillId="0" borderId="21" xfId="0" applyNumberFormat="1" applyFont="1" applyBorder="1" applyAlignment="1">
      <alignment horizontal="center" vertical="center" wrapText="1"/>
    </xf>
    <xf numFmtId="0" fontId="20" fillId="0" borderId="2" xfId="6" applyFont="1" applyBorder="1" applyAlignment="1">
      <alignment horizontal="left" wrapText="1"/>
    </xf>
    <xf numFmtId="0" fontId="44" fillId="0" borderId="2" xfId="0" applyFont="1" applyBorder="1" applyAlignment="1">
      <alignment vertical="center"/>
    </xf>
    <xf numFmtId="0" fontId="45" fillId="0" borderId="2" xfId="6" applyFont="1" applyBorder="1" applyAlignment="1">
      <alignment horizontal="left" vertical="center" wrapText="1"/>
    </xf>
    <xf numFmtId="0" fontId="45" fillId="0" borderId="2" xfId="6" applyFont="1" applyBorder="1" applyAlignment="1">
      <alignment horizontal="center" vertical="center" wrapText="1"/>
    </xf>
    <xf numFmtId="4" fontId="45" fillId="0" borderId="2" xfId="6" applyNumberFormat="1" applyFont="1" applyBorder="1" applyAlignment="1" applyProtection="1">
      <alignment horizontal="center" vertical="center"/>
      <protection locked="0"/>
    </xf>
    <xf numFmtId="0" fontId="45" fillId="0" borderId="2" xfId="6" applyFont="1" applyBorder="1" applyAlignment="1">
      <alignment vertical="center" wrapText="1"/>
    </xf>
    <xf numFmtId="0" fontId="23" fillId="0" borderId="2" xfId="0" applyFont="1" applyBorder="1" applyAlignment="1">
      <alignment vertical="center"/>
    </xf>
    <xf numFmtId="0" fontId="45" fillId="0" borderId="2" xfId="0" applyFont="1" applyBorder="1" applyAlignment="1">
      <alignment vertical="center" wrapText="1"/>
    </xf>
    <xf numFmtId="1" fontId="45" fillId="0" borderId="2" xfId="0" applyNumberFormat="1" applyFont="1" applyBorder="1" applyAlignment="1">
      <alignment horizontal="center" vertical="center" wrapText="1"/>
    </xf>
    <xf numFmtId="4" fontId="4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4" fontId="73" fillId="0" borderId="2" xfId="6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7" borderId="2" xfId="0" applyFont="1" applyFill="1" applyBorder="1" applyAlignment="1">
      <alignment horizontal="center" vertical="center" wrapText="1"/>
    </xf>
    <xf numFmtId="2" fontId="31" fillId="0" borderId="2" xfId="0" applyNumberFormat="1" applyFont="1" applyBorder="1" applyAlignment="1">
      <alignment horizontal="center" vertical="center"/>
    </xf>
    <xf numFmtId="2" fontId="31" fillId="0" borderId="2" xfId="2" applyNumberFormat="1" applyFont="1" applyBorder="1" applyAlignment="1">
      <alignment horizontal="center" vertical="center"/>
    </xf>
    <xf numFmtId="2" fontId="31" fillId="0" borderId="14" xfId="0" applyNumberFormat="1" applyFont="1" applyBorder="1" applyAlignment="1">
      <alignment horizontal="center" vertical="center"/>
    </xf>
    <xf numFmtId="2" fontId="31" fillId="0" borderId="14" xfId="2" applyNumberFormat="1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2" fontId="0" fillId="0" borderId="0" xfId="0" applyNumberFormat="1"/>
    <xf numFmtId="2" fontId="55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2" fontId="0" fillId="0" borderId="0" xfId="0" applyNumberFormat="1" applyAlignment="1">
      <alignment horizontal="center"/>
    </xf>
    <xf numFmtId="2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49" fillId="0" borderId="0" xfId="0" applyFont="1" applyAlignment="1">
      <alignment horizontal="right"/>
    </xf>
    <xf numFmtId="168" fontId="53" fillId="7" borderId="2" xfId="0" applyNumberFormat="1" applyFont="1" applyFill="1" applyBorder="1" applyAlignment="1">
      <alignment horizontal="center" vertical="center" wrapText="1"/>
    </xf>
    <xf numFmtId="2" fontId="5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31" fillId="0" borderId="22" xfId="0" applyNumberFormat="1" applyFont="1" applyBorder="1" applyAlignment="1">
      <alignment vertical="center"/>
    </xf>
    <xf numFmtId="2" fontId="31" fillId="0" borderId="14" xfId="0" applyNumberFormat="1" applyFont="1" applyBorder="1" applyAlignment="1">
      <alignment vertical="center"/>
    </xf>
    <xf numFmtId="0" fontId="19" fillId="0" borderId="2" xfId="0" applyFont="1" applyBorder="1" applyAlignment="1">
      <alignment horizontal="right" vertical="center"/>
    </xf>
    <xf numFmtId="2" fontId="0" fillId="0" borderId="2" xfId="0" applyNumberFormat="1" applyBorder="1" applyAlignment="1">
      <alignment horizontal="center" vertical="center"/>
    </xf>
    <xf numFmtId="0" fontId="61" fillId="0" borderId="0" xfId="0" applyFont="1" applyAlignment="1">
      <alignment vertical="center" wrapText="1"/>
    </xf>
    <xf numFmtId="2" fontId="62" fillId="0" borderId="0" xfId="0" applyNumberFormat="1" applyFont="1" applyAlignment="1">
      <alignment horizontal="center"/>
    </xf>
    <xf numFmtId="2" fontId="0" fillId="0" borderId="2" xfId="2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1" fontId="0" fillId="0" borderId="2" xfId="2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" fontId="57" fillId="14" borderId="2" xfId="2" applyNumberFormat="1" applyFont="1" applyFill="1" applyBorder="1" applyAlignment="1">
      <alignment horizontal="center" vertical="center" wrapText="1"/>
    </xf>
    <xf numFmtId="2" fontId="6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15" borderId="2" xfId="0" applyNumberFormat="1" applyFill="1" applyBorder="1" applyAlignment="1">
      <alignment horizontal="center" vertical="center" wrapText="1"/>
    </xf>
    <xf numFmtId="2" fontId="0" fillId="15" borderId="14" xfId="0" applyNumberFormat="1" applyFill="1" applyBorder="1" applyAlignment="1">
      <alignment horizontal="center" vertical="center" wrapText="1"/>
    </xf>
    <xf numFmtId="2" fontId="19" fillId="15" borderId="2" xfId="0" applyNumberFormat="1" applyFont="1" applyFill="1" applyBorder="1" applyAlignment="1">
      <alignment horizontal="center" vertical="center" wrapText="1"/>
    </xf>
    <xf numFmtId="2" fontId="19" fillId="15" borderId="22" xfId="0" applyNumberFormat="1" applyFont="1" applyFill="1" applyBorder="1" applyAlignment="1">
      <alignment horizontal="center" vertical="center" wrapText="1"/>
    </xf>
    <xf numFmtId="4" fontId="73" fillId="0" borderId="2" xfId="5" applyNumberFormat="1" applyFont="1" applyBorder="1" applyAlignment="1">
      <alignment horizontal="center" vertical="center"/>
    </xf>
    <xf numFmtId="2" fontId="73" fillId="0" borderId="2" xfId="0" applyNumberFormat="1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2" fontId="31" fillId="0" borderId="22" xfId="2" applyNumberFormat="1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/>
    </xf>
    <xf numFmtId="2" fontId="0" fillId="0" borderId="29" xfId="0" applyNumberFormat="1" applyBorder="1" applyAlignment="1">
      <alignment horizontal="center"/>
    </xf>
    <xf numFmtId="2" fontId="31" fillId="0" borderId="29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2" fontId="31" fillId="0" borderId="0" xfId="2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2" fontId="31" fillId="0" borderId="29" xfId="0" applyNumberFormat="1" applyFont="1" applyBorder="1" applyAlignment="1">
      <alignment vertical="center"/>
    </xf>
    <xf numFmtId="0" fontId="0" fillId="0" borderId="29" xfId="0" applyBorder="1"/>
    <xf numFmtId="0" fontId="31" fillId="0" borderId="31" xfId="0" applyFont="1" applyBorder="1" applyAlignment="1">
      <alignment horizontal="center" vertical="center"/>
    </xf>
    <xf numFmtId="2" fontId="31" fillId="0" borderId="31" xfId="0" applyNumberFormat="1" applyFont="1" applyBorder="1" applyAlignment="1">
      <alignment horizontal="center" vertical="center"/>
    </xf>
    <xf numFmtId="2" fontId="31" fillId="0" borderId="31" xfId="2" applyNumberFormat="1" applyFont="1" applyBorder="1" applyAlignment="1">
      <alignment horizontal="center" vertical="center"/>
    </xf>
    <xf numFmtId="2" fontId="55" fillId="0" borderId="31" xfId="0" applyNumberFormat="1" applyFont="1" applyBorder="1" applyAlignment="1">
      <alignment vertical="center"/>
    </xf>
    <xf numFmtId="0" fontId="55" fillId="0" borderId="32" xfId="0" applyFont="1" applyBorder="1" applyAlignment="1">
      <alignment vertical="center"/>
    </xf>
    <xf numFmtId="0" fontId="31" fillId="0" borderId="33" xfId="0" applyFont="1" applyBorder="1" applyAlignment="1">
      <alignment horizontal="center" vertical="center"/>
    </xf>
    <xf numFmtId="4" fontId="75" fillId="0" borderId="0" xfId="0" applyNumberFormat="1" applyFont="1"/>
    <xf numFmtId="0" fontId="75" fillId="0" borderId="0" xfId="0" applyFont="1"/>
    <xf numFmtId="0" fontId="75" fillId="0" borderId="31" xfId="0" applyFont="1" applyBorder="1"/>
    <xf numFmtId="0" fontId="76" fillId="0" borderId="0" xfId="0" quotePrefix="1" applyFont="1" applyAlignment="1">
      <alignment horizontal="center"/>
    </xf>
    <xf numFmtId="16" fontId="76" fillId="0" borderId="0" xfId="0" quotePrefix="1" applyNumberFormat="1" applyFont="1" applyAlignment="1">
      <alignment horizontal="center"/>
    </xf>
    <xf numFmtId="0" fontId="76" fillId="0" borderId="0" xfId="0" applyFont="1" applyAlignment="1">
      <alignment horizontal="center"/>
    </xf>
    <xf numFmtId="0" fontId="76" fillId="0" borderId="0" xfId="0" applyFont="1"/>
    <xf numFmtId="0" fontId="75" fillId="0" borderId="0" xfId="0" applyFont="1" applyAlignment="1">
      <alignment horizontal="center"/>
    </xf>
    <xf numFmtId="0" fontId="75" fillId="8" borderId="0" xfId="0" applyFont="1" applyFill="1"/>
    <xf numFmtId="0" fontId="75" fillId="0" borderId="0" xfId="0" applyFont="1" applyAlignment="1">
      <alignment horizontal="right"/>
    </xf>
    <xf numFmtId="4" fontId="17" fillId="0" borderId="2" xfId="5" applyNumberFormat="1" applyFont="1" applyBorder="1" applyAlignment="1">
      <alignment horizontal="left" vertical="center" wrapText="1"/>
    </xf>
    <xf numFmtId="2" fontId="17" fillId="0" borderId="2" xfId="5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vertical="center"/>
    </xf>
    <xf numFmtId="2" fontId="0" fillId="0" borderId="22" xfId="2" applyNumberFormat="1" applyFont="1" applyBorder="1" applyAlignment="1">
      <alignment horizontal="center" vertical="center" wrapText="1"/>
    </xf>
    <xf numFmtId="2" fontId="0" fillId="0" borderId="22" xfId="2" applyNumberFormat="1" applyFont="1" applyBorder="1" applyAlignment="1" applyProtection="1">
      <alignment horizontal="center" vertical="center" wrapText="1"/>
      <protection locked="0"/>
    </xf>
    <xf numFmtId="2" fontId="57" fillId="14" borderId="2" xfId="2" applyNumberFormat="1" applyFont="1" applyFill="1" applyBorder="1" applyAlignment="1">
      <alignment horizontal="center" vertical="center" wrapText="1"/>
    </xf>
    <xf numFmtId="2" fontId="77" fillId="0" borderId="0" xfId="0" applyNumberFormat="1" applyFont="1" applyAlignment="1">
      <alignment horizontal="center"/>
    </xf>
    <xf numFmtId="2" fontId="0" fillId="15" borderId="14" xfId="0" applyNumberFormat="1" applyFill="1" applyBorder="1" applyAlignment="1">
      <alignment horizontal="left" vertical="center" wrapText="1"/>
    </xf>
    <xf numFmtId="1" fontId="0" fillId="0" borderId="22" xfId="2" applyNumberFormat="1" applyFont="1" applyBorder="1" applyAlignment="1">
      <alignment horizontal="center" vertical="center" wrapText="1"/>
    </xf>
    <xf numFmtId="2" fontId="19" fillId="0" borderId="0" xfId="0" applyNumberFormat="1" applyFont="1" applyAlignment="1">
      <alignment horizontal="center"/>
    </xf>
    <xf numFmtId="2" fontId="62" fillId="17" borderId="34" xfId="0" applyNumberFormat="1" applyFont="1" applyFill="1" applyBorder="1" applyAlignment="1">
      <alignment horizontal="left" vertical="center"/>
    </xf>
    <xf numFmtId="2" fontId="62" fillId="17" borderId="34" xfId="0" applyNumberFormat="1" applyFont="1" applyFill="1" applyBorder="1" applyAlignment="1">
      <alignment horizontal="center" vertical="center" wrapText="1"/>
    </xf>
    <xf numFmtId="2" fontId="62" fillId="17" borderId="8" xfId="0" applyNumberFormat="1" applyFont="1" applyFill="1" applyBorder="1" applyAlignment="1">
      <alignment horizontal="center" vertical="center" wrapText="1"/>
    </xf>
    <xf numFmtId="2" fontId="62" fillId="0" borderId="34" xfId="0" applyNumberFormat="1" applyFont="1" applyBorder="1" applyAlignment="1">
      <alignment horizontal="left" vertical="center"/>
    </xf>
    <xf numFmtId="2" fontId="62" fillId="0" borderId="35" xfId="0" applyNumberFormat="1" applyFont="1" applyBorder="1" applyAlignment="1">
      <alignment horizontal="center"/>
    </xf>
    <xf numFmtId="2" fontId="62" fillId="17" borderId="36" xfId="0" applyNumberFormat="1" applyFont="1" applyFill="1" applyBorder="1" applyAlignment="1">
      <alignment horizontal="center" vertical="center" wrapText="1"/>
    </xf>
    <xf numFmtId="2" fontId="0" fillId="15" borderId="9" xfId="0" applyNumberFormat="1" applyFill="1" applyBorder="1" applyAlignment="1">
      <alignment horizontal="center" vertical="center" wrapText="1"/>
    </xf>
    <xf numFmtId="2" fontId="0" fillId="15" borderId="37" xfId="0" applyNumberForma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57" fillId="14" borderId="10" xfId="2" applyNumberFormat="1" applyFont="1" applyFill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/>
    </xf>
    <xf numFmtId="2" fontId="0" fillId="0" borderId="38" xfId="0" applyNumberFormat="1" applyBorder="1" applyAlignment="1">
      <alignment horizontal="center" vertical="center" wrapText="1"/>
    </xf>
    <xf numFmtId="2" fontId="52" fillId="18" borderId="25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" fontId="57" fillId="14" borderId="12" xfId="2" applyNumberFormat="1" applyFont="1" applyFill="1" applyBorder="1" applyAlignment="1">
      <alignment horizontal="center" vertical="center" wrapText="1"/>
    </xf>
    <xf numFmtId="2" fontId="57" fillId="14" borderId="12" xfId="2" applyNumberFormat="1" applyFont="1" applyFill="1" applyBorder="1" applyAlignment="1">
      <alignment horizontal="center" vertical="center" wrapText="1"/>
    </xf>
    <xf numFmtId="2" fontId="0" fillId="0" borderId="12" xfId="2" applyNumberFormat="1" applyFont="1" applyBorder="1" applyAlignment="1">
      <alignment horizontal="center" vertical="center" wrapText="1"/>
    </xf>
    <xf numFmtId="2" fontId="17" fillId="13" borderId="2" xfId="0" applyNumberFormat="1" applyFont="1" applyFill="1" applyBorder="1" applyAlignment="1">
      <alignment horizontal="center" vertical="center"/>
    </xf>
    <xf numFmtId="4" fontId="17" fillId="10" borderId="4" xfId="0" applyNumberFormat="1" applyFont="1" applyFill="1" applyBorder="1" applyAlignment="1">
      <alignment horizontal="center" vertical="center" wrapText="1"/>
    </xf>
    <xf numFmtId="4" fontId="17" fillId="10" borderId="5" xfId="0" applyNumberFormat="1" applyFont="1" applyFill="1" applyBorder="1" applyAlignment="1">
      <alignment horizontal="center" vertical="center" wrapText="1"/>
    </xf>
    <xf numFmtId="2" fontId="42" fillId="0" borderId="2" xfId="0" applyNumberFormat="1" applyFont="1" applyBorder="1" applyAlignment="1">
      <alignment horizontal="center" vertical="center" wrapText="1"/>
    </xf>
    <xf numFmtId="164" fontId="73" fillId="0" borderId="2" xfId="5" applyNumberFormat="1" applyFont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73" fillId="13" borderId="3" xfId="5" applyFont="1" applyFill="1" applyBorder="1" applyAlignment="1">
      <alignment horizontal="center" vertical="center" wrapText="1"/>
    </xf>
    <xf numFmtId="0" fontId="73" fillId="0" borderId="2" xfId="5" applyFont="1" applyBorder="1" applyAlignment="1">
      <alignment vertical="center" wrapText="1"/>
    </xf>
    <xf numFmtId="0" fontId="73" fillId="0" borderId="2" xfId="5" applyFont="1" applyBorder="1" applyAlignment="1">
      <alignment horizontal="center" vertical="center" wrapText="1"/>
    </xf>
    <xf numFmtId="4" fontId="73" fillId="0" borderId="10" xfId="5" applyNumberFormat="1" applyFont="1" applyBorder="1" applyAlignment="1">
      <alignment horizontal="center" vertical="center"/>
    </xf>
    <xf numFmtId="164" fontId="72" fillId="0" borderId="2" xfId="5" quotePrefix="1" applyNumberFormat="1" applyFont="1" applyBorder="1" applyAlignment="1">
      <alignment horizontal="center" vertical="center" wrapText="1"/>
    </xf>
    <xf numFmtId="0" fontId="72" fillId="0" borderId="2" xfId="5" applyFont="1" applyBorder="1" applyAlignment="1">
      <alignment vertical="center" wrapText="1"/>
    </xf>
    <xf numFmtId="0" fontId="72" fillId="0" borderId="2" xfId="5" applyFont="1" applyBorder="1" applyAlignment="1">
      <alignment horizontal="center" vertical="center" wrapText="1"/>
    </xf>
    <xf numFmtId="4" fontId="72" fillId="0" borderId="2" xfId="5" applyNumberFormat="1" applyFont="1" applyBorder="1" applyAlignment="1">
      <alignment horizontal="center" vertical="center"/>
    </xf>
    <xf numFmtId="0" fontId="73" fillId="13" borderId="2" xfId="5" applyFont="1" applyFill="1" applyBorder="1" applyAlignment="1">
      <alignment horizontal="center" vertical="center" wrapText="1"/>
    </xf>
    <xf numFmtId="4" fontId="72" fillId="0" borderId="10" xfId="5" applyNumberFormat="1" applyFont="1" applyBorder="1" applyAlignment="1">
      <alignment horizontal="center" vertical="center"/>
    </xf>
    <xf numFmtId="0" fontId="72" fillId="0" borderId="3" xfId="0" applyFont="1" applyBorder="1" applyAlignment="1">
      <alignment horizontal="center" vertical="center" wrapText="1"/>
    </xf>
    <xf numFmtId="164" fontId="72" fillId="0" borderId="2" xfId="0" applyNumberFormat="1" applyFont="1" applyBorder="1" applyAlignment="1">
      <alignment horizontal="center" vertical="center" wrapText="1"/>
    </xf>
    <xf numFmtId="0" fontId="72" fillId="0" borderId="2" xfId="0" applyFont="1" applyBorder="1" applyAlignment="1">
      <alignment vertical="center" wrapText="1"/>
    </xf>
    <xf numFmtId="1" fontId="72" fillId="0" borderId="2" xfId="0" applyNumberFormat="1" applyFont="1" applyBorder="1" applyAlignment="1">
      <alignment horizontal="center" vertical="center" wrapText="1"/>
    </xf>
    <xf numFmtId="4" fontId="72" fillId="0" borderId="2" xfId="0" applyNumberFormat="1" applyFont="1" applyBorder="1" applyAlignment="1">
      <alignment horizontal="center" vertical="center" wrapText="1"/>
    </xf>
    <xf numFmtId="4" fontId="72" fillId="0" borderId="10" xfId="0" applyNumberFormat="1" applyFont="1" applyBorder="1" applyAlignment="1">
      <alignment horizontal="center" vertical="center" wrapText="1"/>
    </xf>
    <xf numFmtId="0" fontId="0" fillId="16" borderId="0" xfId="0" applyFill="1" applyAlignment="1">
      <alignment vertical="center"/>
    </xf>
    <xf numFmtId="0" fontId="20" fillId="16" borderId="0" xfId="6" applyFont="1" applyFill="1" applyAlignment="1">
      <alignment horizontal="left" vertical="center"/>
    </xf>
    <xf numFmtId="0" fontId="19" fillId="16" borderId="0" xfId="0" applyFont="1" applyFill="1" applyAlignment="1">
      <alignment vertical="center"/>
    </xf>
    <xf numFmtId="0" fontId="73" fillId="0" borderId="3" xfId="0" applyFont="1" applyBorder="1" applyAlignment="1">
      <alignment horizontal="center" vertical="center"/>
    </xf>
    <xf numFmtId="0" fontId="73" fillId="0" borderId="2" xfId="5" applyFont="1" applyBorder="1" applyAlignment="1">
      <alignment horizontal="left" vertical="center" wrapText="1"/>
    </xf>
    <xf numFmtId="0" fontId="73" fillId="0" borderId="2" xfId="6" applyFont="1" applyBorder="1" applyAlignment="1">
      <alignment horizontal="center" vertical="center" wrapText="1"/>
    </xf>
    <xf numFmtId="0" fontId="72" fillId="0" borderId="2" xfId="5" applyFont="1" applyBorder="1" applyAlignment="1">
      <alignment horizontal="left" vertical="center" wrapText="1"/>
    </xf>
    <xf numFmtId="0" fontId="72" fillId="0" borderId="39" xfId="0" applyFont="1" applyBorder="1" applyAlignment="1">
      <alignment horizontal="center" vertical="center" wrapText="1"/>
    </xf>
    <xf numFmtId="164" fontId="72" fillId="0" borderId="22" xfId="0" applyNumberFormat="1" applyFont="1" applyBorder="1" applyAlignment="1">
      <alignment horizontal="center" vertical="center" wrapText="1"/>
    </xf>
    <xf numFmtId="0" fontId="72" fillId="0" borderId="22" xfId="0" applyFont="1" applyBorder="1" applyAlignment="1">
      <alignment vertical="center" wrapText="1"/>
    </xf>
    <xf numFmtId="1" fontId="72" fillId="0" borderId="22" xfId="0" applyNumberFormat="1" applyFont="1" applyBorder="1" applyAlignment="1">
      <alignment horizontal="center" vertical="center" wrapText="1"/>
    </xf>
    <xf numFmtId="4" fontId="72" fillId="0" borderId="22" xfId="0" applyNumberFormat="1" applyFont="1" applyBorder="1" applyAlignment="1">
      <alignment horizontal="center" vertical="center" wrapText="1"/>
    </xf>
    <xf numFmtId="4" fontId="72" fillId="0" borderId="38" xfId="0" applyNumberFormat="1" applyFont="1" applyBorder="1" applyAlignment="1">
      <alignment horizontal="center" vertical="center" wrapText="1"/>
    </xf>
    <xf numFmtId="0" fontId="72" fillId="0" borderId="40" xfId="6" applyFont="1" applyBorder="1" applyAlignment="1">
      <alignment horizontal="center" vertical="center" wrapText="1"/>
    </xf>
    <xf numFmtId="0" fontId="78" fillId="0" borderId="41" xfId="0" applyFont="1" applyBorder="1" applyAlignment="1">
      <alignment vertical="center"/>
    </xf>
    <xf numFmtId="0" fontId="79" fillId="0" borderId="41" xfId="6" applyFont="1" applyBorder="1" applyAlignment="1">
      <alignment horizontal="left" vertical="center" wrapText="1"/>
    </xf>
    <xf numFmtId="0" fontId="79" fillId="0" borderId="41" xfId="6" applyFont="1" applyBorder="1" applyAlignment="1">
      <alignment horizontal="center" vertical="center" wrapText="1"/>
    </xf>
    <xf numFmtId="4" fontId="79" fillId="0" borderId="41" xfId="6" applyNumberFormat="1" applyFont="1" applyBorder="1" applyAlignment="1" applyProtection="1">
      <alignment horizontal="center" vertical="center"/>
      <protection locked="0"/>
    </xf>
    <xf numFmtId="4" fontId="79" fillId="0" borderId="42" xfId="6" applyNumberFormat="1" applyFont="1" applyBorder="1" applyAlignment="1" applyProtection="1">
      <alignment horizontal="center" vertical="center"/>
      <protection locked="0"/>
    </xf>
    <xf numFmtId="0" fontId="73" fillId="0" borderId="40" xfId="6" applyFont="1" applyBorder="1" applyAlignment="1">
      <alignment horizontal="center" vertical="center" wrapText="1"/>
    </xf>
    <xf numFmtId="0" fontId="79" fillId="0" borderId="41" xfId="6" applyFont="1" applyBorder="1" applyAlignment="1">
      <alignment vertical="center" wrapText="1"/>
    </xf>
    <xf numFmtId="0" fontId="73" fillId="0" borderId="9" xfId="6" applyFont="1" applyBorder="1" applyAlignment="1">
      <alignment horizontal="center" vertical="center" wrapText="1"/>
    </xf>
    <xf numFmtId="0" fontId="78" fillId="0" borderId="14" xfId="0" applyFont="1" applyBorder="1" applyAlignment="1">
      <alignment vertical="center"/>
    </xf>
    <xf numFmtId="0" fontId="79" fillId="0" borderId="14" xfId="6" applyFont="1" applyBorder="1" applyAlignment="1">
      <alignment horizontal="left" vertical="center" wrapText="1"/>
    </xf>
    <xf numFmtId="0" fontId="79" fillId="0" borderId="14" xfId="6" applyFont="1" applyBorder="1" applyAlignment="1">
      <alignment horizontal="center" vertical="center" wrapText="1"/>
    </xf>
    <xf numFmtId="4" fontId="79" fillId="0" borderId="14" xfId="6" applyNumberFormat="1" applyFont="1" applyBorder="1" applyAlignment="1" applyProtection="1">
      <alignment horizontal="center" vertical="center"/>
      <protection locked="0"/>
    </xf>
    <xf numFmtId="4" fontId="79" fillId="0" borderId="37" xfId="6" applyNumberFormat="1" applyFont="1" applyBorder="1" applyAlignment="1" applyProtection="1">
      <alignment horizontal="center" vertical="center"/>
      <protection locked="0"/>
    </xf>
    <xf numFmtId="0" fontId="20" fillId="16" borderId="0" xfId="0" applyFont="1" applyFill="1" applyAlignment="1">
      <alignment vertical="center"/>
    </xf>
    <xf numFmtId="0" fontId="17" fillId="16" borderId="0" xfId="0" applyFont="1" applyFill="1" applyAlignment="1">
      <alignment vertical="center"/>
    </xf>
    <xf numFmtId="2" fontId="73" fillId="0" borderId="2" xfId="6" applyNumberFormat="1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2" fontId="74" fillId="0" borderId="2" xfId="0" applyNumberFormat="1" applyFont="1" applyBorder="1" applyAlignment="1">
      <alignment horizontal="center" vertical="center"/>
    </xf>
    <xf numFmtId="0" fontId="74" fillId="12" borderId="0" xfId="0" applyFont="1" applyFill="1" applyAlignment="1">
      <alignment vertical="center"/>
    </xf>
    <xf numFmtId="0" fontId="74" fillId="3" borderId="0" xfId="0" applyFont="1" applyFill="1" applyAlignment="1">
      <alignment vertical="center"/>
    </xf>
    <xf numFmtId="167" fontId="72" fillId="0" borderId="0" xfId="6" applyNumberFormat="1" applyFont="1" applyAlignment="1">
      <alignment horizontal="left" vertical="center"/>
    </xf>
    <xf numFmtId="0" fontId="77" fillId="0" borderId="0" xfId="0" applyFont="1" applyAlignment="1">
      <alignment vertical="center"/>
    </xf>
    <xf numFmtId="0" fontId="77" fillId="12" borderId="0" xfId="0" applyFont="1" applyFill="1" applyAlignment="1">
      <alignment vertical="center"/>
    </xf>
    <xf numFmtId="167" fontId="73" fillId="0" borderId="0" xfId="6" applyNumberFormat="1" applyFont="1" applyAlignment="1">
      <alignment horizontal="left" vertical="center"/>
    </xf>
    <xf numFmtId="0" fontId="73" fillId="0" borderId="0" xfId="6" applyFont="1" applyAlignment="1">
      <alignment horizontal="left" vertical="center"/>
    </xf>
    <xf numFmtId="4" fontId="17" fillId="0" borderId="10" xfId="5" applyNumberFormat="1" applyFont="1" applyBorder="1" applyAlignment="1">
      <alignment horizontal="center" vertical="center"/>
    </xf>
    <xf numFmtId="164" fontId="17" fillId="13" borderId="2" xfId="5" applyNumberFormat="1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164" fontId="20" fillId="0" borderId="22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  <xf numFmtId="1" fontId="20" fillId="0" borderId="22" xfId="0" applyNumberFormat="1" applyFont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vertical="center" wrapText="1"/>
    </xf>
    <xf numFmtId="4" fontId="20" fillId="0" borderId="38" xfId="0" applyNumberFormat="1" applyFont="1" applyBorder="1" applyAlignment="1">
      <alignment horizontal="center" vertical="center" wrapText="1"/>
    </xf>
    <xf numFmtId="0" fontId="45" fillId="0" borderId="41" xfId="6" applyFont="1" applyBorder="1" applyAlignment="1">
      <alignment horizontal="left" vertical="center" wrapText="1"/>
    </xf>
    <xf numFmtId="0" fontId="45" fillId="0" borderId="41" xfId="6" applyFont="1" applyBorder="1" applyAlignment="1">
      <alignment horizontal="center" vertical="center" wrapText="1"/>
    </xf>
    <xf numFmtId="4" fontId="45" fillId="0" borderId="41" xfId="6" applyNumberFormat="1" applyFont="1" applyBorder="1" applyAlignment="1" applyProtection="1">
      <alignment horizontal="center" vertical="center"/>
      <protection locked="0"/>
    </xf>
    <xf numFmtId="4" fontId="45" fillId="0" borderId="42" xfId="6" applyNumberFormat="1" applyFont="1" applyBorder="1" applyAlignment="1" applyProtection="1">
      <alignment horizontal="center" vertical="center"/>
      <protection locked="0"/>
    </xf>
    <xf numFmtId="0" fontId="17" fillId="0" borderId="40" xfId="6" applyFont="1" applyBorder="1" applyAlignment="1">
      <alignment horizontal="center" vertical="center" wrapText="1"/>
    </xf>
    <xf numFmtId="0" fontId="45" fillId="0" borderId="41" xfId="6" applyFont="1" applyBorder="1" applyAlignment="1">
      <alignment vertical="center" wrapText="1"/>
    </xf>
    <xf numFmtId="0" fontId="23" fillId="0" borderId="41" xfId="0" applyFont="1" applyBorder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1" fontId="45" fillId="0" borderId="14" xfId="0" applyNumberFormat="1" applyFont="1" applyBorder="1" applyAlignment="1">
      <alignment horizontal="center" vertical="center" wrapText="1"/>
    </xf>
    <xf numFmtId="4" fontId="45" fillId="0" borderId="14" xfId="0" applyNumberFormat="1" applyFont="1" applyBorder="1" applyAlignment="1">
      <alignment horizontal="center" vertical="center" wrapText="1"/>
    </xf>
    <xf numFmtId="4" fontId="45" fillId="0" borderId="37" xfId="0" applyNumberFormat="1" applyFont="1" applyBorder="1" applyAlignment="1">
      <alignment horizontal="center" vertical="center" wrapText="1"/>
    </xf>
    <xf numFmtId="166" fontId="73" fillId="0" borderId="2" xfId="6" quotePrefix="1" applyNumberFormat="1" applyFont="1" applyBorder="1" applyAlignment="1">
      <alignment horizontal="center" vertical="center" wrapText="1"/>
    </xf>
    <xf numFmtId="0" fontId="73" fillId="0" borderId="2" xfId="6" quotePrefix="1" applyFont="1" applyBorder="1" applyAlignment="1">
      <alignment horizontal="left" vertical="center" wrapText="1"/>
    </xf>
    <xf numFmtId="166" fontId="72" fillId="0" borderId="2" xfId="6" quotePrefix="1" applyNumberFormat="1" applyFont="1" applyBorder="1" applyAlignment="1">
      <alignment horizontal="center" vertical="center" wrapText="1"/>
    </xf>
    <xf numFmtId="0" fontId="72" fillId="0" borderId="2" xfId="6" applyFont="1" applyBorder="1" applyAlignment="1">
      <alignment horizontal="left" vertical="center" wrapText="1"/>
    </xf>
    <xf numFmtId="0" fontId="72" fillId="0" borderId="2" xfId="6" applyFont="1" applyBorder="1" applyAlignment="1">
      <alignment horizontal="center" vertical="center" wrapText="1"/>
    </xf>
    <xf numFmtId="4" fontId="72" fillId="0" borderId="2" xfId="6" applyNumberFormat="1" applyFont="1" applyBorder="1" applyAlignment="1">
      <alignment horizontal="center" vertical="center"/>
    </xf>
    <xf numFmtId="2" fontId="0" fillId="15" borderId="32" xfId="0" applyNumberFormat="1" applyFill="1" applyBorder="1" applyAlignment="1">
      <alignment horizontal="center" vertical="center" wrapText="1"/>
    </xf>
    <xf numFmtId="2" fontId="21" fillId="14" borderId="0" xfId="2" applyNumberFormat="1" applyFont="1" applyFill="1" applyBorder="1" applyAlignment="1">
      <alignment horizontal="center" vertical="center" wrapText="1"/>
    </xf>
    <xf numFmtId="2" fontId="62" fillId="17" borderId="34" xfId="0" applyNumberFormat="1" applyFont="1" applyFill="1" applyBorder="1" applyAlignment="1">
      <alignment vertical="center"/>
    </xf>
    <xf numFmtId="2" fontId="57" fillId="14" borderId="40" xfId="2" applyNumberFormat="1" applyFont="1" applyFill="1" applyBorder="1" applyAlignment="1">
      <alignment vertical="center" wrapText="1"/>
    </xf>
    <xf numFmtId="2" fontId="57" fillId="14" borderId="2" xfId="2" applyNumberFormat="1" applyFont="1" applyFill="1" applyBorder="1" applyAlignment="1">
      <alignment vertical="center" wrapText="1"/>
    </xf>
    <xf numFmtId="2" fontId="0" fillId="0" borderId="43" xfId="2" applyNumberFormat="1" applyFont="1" applyBorder="1" applyAlignment="1">
      <alignment vertical="center" wrapText="1"/>
    </xf>
    <xf numFmtId="2" fontId="0" fillId="0" borderId="29" xfId="2" applyNumberFormat="1" applyFont="1" applyBorder="1" applyAlignment="1">
      <alignment vertical="center" wrapText="1"/>
    </xf>
    <xf numFmtId="2" fontId="0" fillId="0" borderId="44" xfId="2" applyNumberFormat="1" applyFont="1" applyBorder="1" applyAlignment="1">
      <alignment vertical="center" wrapText="1"/>
    </xf>
    <xf numFmtId="2" fontId="0" fillId="0" borderId="0" xfId="2" applyNumberFormat="1" applyFont="1" applyBorder="1" applyAlignment="1">
      <alignment vertical="center" wrapText="1"/>
    </xf>
    <xf numFmtId="2" fontId="0" fillId="0" borderId="1" xfId="2" applyNumberFormat="1" applyFont="1" applyBorder="1" applyAlignment="1">
      <alignment vertical="center" wrapText="1"/>
    </xf>
    <xf numFmtId="2" fontId="0" fillId="0" borderId="33" xfId="2" applyNumberFormat="1" applyFont="1" applyBorder="1" applyAlignment="1">
      <alignment vertical="center" wrapText="1"/>
    </xf>
    <xf numFmtId="2" fontId="0" fillId="0" borderId="31" xfId="2" applyNumberFormat="1" applyFont="1" applyBorder="1" applyAlignment="1">
      <alignment vertical="center" wrapText="1"/>
    </xf>
    <xf numFmtId="2" fontId="0" fillId="0" borderId="0" xfId="2" applyNumberFormat="1" applyFont="1" applyBorder="1" applyAlignment="1">
      <alignment horizontal="right" vertical="center" wrapText="1"/>
    </xf>
    <xf numFmtId="1" fontId="57" fillId="14" borderId="2" xfId="2" applyNumberFormat="1" applyFont="1" applyFill="1" applyBorder="1" applyAlignment="1">
      <alignment horizontal="left" vertical="center" wrapText="1"/>
    </xf>
    <xf numFmtId="1" fontId="57" fillId="14" borderId="14" xfId="2" applyNumberFormat="1" applyFont="1" applyFill="1" applyBorder="1" applyAlignment="1">
      <alignment horizontal="center" vertical="center" wrapText="1"/>
    </xf>
    <xf numFmtId="2" fontId="0" fillId="0" borderId="2" xfId="2" applyNumberFormat="1" applyFont="1" applyBorder="1" applyAlignment="1">
      <alignment horizontal="left" vertical="center" wrapText="1"/>
    </xf>
    <xf numFmtId="2" fontId="0" fillId="0" borderId="45" xfId="2" applyNumberFormat="1" applyFont="1" applyBorder="1" applyAlignment="1">
      <alignment vertical="center" wrapText="1"/>
    </xf>
    <xf numFmtId="2" fontId="0" fillId="0" borderId="6" xfId="2" applyNumberFormat="1" applyFont="1" applyBorder="1" applyAlignment="1">
      <alignment vertical="center" wrapText="1"/>
    </xf>
    <xf numFmtId="2" fontId="0" fillId="0" borderId="5" xfId="2" applyNumberFormat="1" applyFont="1" applyBorder="1" applyAlignment="1">
      <alignment vertical="center" wrapText="1"/>
    </xf>
    <xf numFmtId="2" fontId="0" fillId="0" borderId="0" xfId="2" applyNumberFormat="1" applyFont="1" applyFill="1" applyBorder="1" applyAlignment="1">
      <alignment horizontal="center" vertical="center" wrapText="1"/>
    </xf>
    <xf numFmtId="2" fontId="57" fillId="0" borderId="29" xfId="2" applyNumberFormat="1" applyFont="1" applyFill="1" applyBorder="1" applyAlignment="1">
      <alignment vertical="center" wrapText="1"/>
    </xf>
    <xf numFmtId="2" fontId="0" fillId="0" borderId="29" xfId="2" applyNumberFormat="1" applyFont="1" applyFill="1" applyBorder="1" applyAlignment="1">
      <alignment horizontal="center" vertical="center" wrapText="1"/>
    </xf>
    <xf numFmtId="2" fontId="57" fillId="0" borderId="0" xfId="2" applyNumberFormat="1" applyFont="1" applyFill="1" applyBorder="1" applyAlignment="1">
      <alignment vertical="center" wrapText="1"/>
    </xf>
    <xf numFmtId="2" fontId="0" fillId="0" borderId="5" xfId="2" applyNumberFormat="1" applyFont="1" applyBorder="1" applyAlignment="1">
      <alignment horizontal="left" vertical="center" wrapText="1"/>
    </xf>
    <xf numFmtId="2" fontId="0" fillId="0" borderId="2" xfId="2" applyNumberFormat="1" applyFont="1" applyBorder="1" applyAlignment="1">
      <alignment vertical="center" wrapText="1"/>
    </xf>
    <xf numFmtId="2" fontId="73" fillId="13" borderId="2" xfId="0" applyNumberFormat="1" applyFont="1" applyFill="1" applyBorder="1" applyAlignment="1">
      <alignment horizontal="center" vertical="center"/>
    </xf>
    <xf numFmtId="0" fontId="17" fillId="11" borderId="2" xfId="5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 wrapText="1"/>
    </xf>
    <xf numFmtId="2" fontId="17" fillId="0" borderId="2" xfId="5" applyNumberFormat="1" applyFont="1" applyBorder="1" applyAlignment="1">
      <alignment horizontal="center" vertical="center"/>
    </xf>
    <xf numFmtId="2" fontId="20" fillId="0" borderId="2" xfId="5" applyNumberFormat="1" applyFont="1" applyBorder="1" applyAlignment="1">
      <alignment horizontal="center" vertical="center"/>
    </xf>
    <xf numFmtId="2" fontId="20" fillId="0" borderId="2" xfId="0" applyNumberFormat="1" applyFont="1" applyBorder="1" applyAlignment="1">
      <alignment horizontal="center" vertical="center" wrapText="1"/>
    </xf>
    <xf numFmtId="2" fontId="45" fillId="0" borderId="2" xfId="6" applyNumberFormat="1" applyFont="1" applyBorder="1" applyAlignment="1" applyProtection="1">
      <alignment horizontal="center" vertical="center"/>
      <protection locked="0"/>
    </xf>
    <xf numFmtId="2" fontId="45" fillId="0" borderId="2" xfId="0" applyNumberFormat="1" applyFont="1" applyBorder="1" applyAlignment="1">
      <alignment horizontal="center" vertical="center" wrapText="1"/>
    </xf>
    <xf numFmtId="2" fontId="20" fillId="0" borderId="2" xfId="6" applyNumberFormat="1" applyFont="1" applyBorder="1" applyAlignment="1">
      <alignment horizontal="center" vertical="center"/>
    </xf>
    <xf numFmtId="2" fontId="72" fillId="0" borderId="2" xfId="6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43" fontId="17" fillId="0" borderId="2" xfId="1" applyFont="1" applyFill="1" applyBorder="1" applyAlignment="1">
      <alignment horizontal="center" vertical="center" wrapText="1"/>
    </xf>
    <xf numFmtId="43" fontId="20" fillId="0" borderId="2" xfId="1" applyFont="1" applyFill="1" applyBorder="1" applyAlignment="1">
      <alignment horizontal="center" vertical="center" wrapText="1"/>
    </xf>
    <xf numFmtId="43" fontId="17" fillId="0" borderId="2" xfId="1" applyFont="1" applyFill="1" applyBorder="1" applyAlignment="1">
      <alignment horizontal="center" vertical="center"/>
    </xf>
    <xf numFmtId="43" fontId="20" fillId="0" borderId="2" xfId="1" applyFont="1" applyFill="1" applyBorder="1" applyAlignment="1">
      <alignment horizontal="center" vertical="center"/>
    </xf>
    <xf numFmtId="43" fontId="45" fillId="0" borderId="2" xfId="1" applyFont="1" applyFill="1" applyBorder="1" applyAlignment="1" applyProtection="1">
      <alignment horizontal="center" vertical="center"/>
      <protection locked="0"/>
    </xf>
    <xf numFmtId="43" fontId="45" fillId="0" borderId="2" xfId="1" applyFont="1" applyFill="1" applyBorder="1" applyAlignment="1">
      <alignment horizontal="center" vertical="center" wrapText="1"/>
    </xf>
    <xf numFmtId="43" fontId="73" fillId="0" borderId="2" xfId="1" applyFont="1" applyFill="1" applyBorder="1" applyAlignment="1">
      <alignment horizontal="center" vertical="center"/>
    </xf>
    <xf numFmtId="43" fontId="72" fillId="0" borderId="2" xfId="1" applyFont="1" applyFill="1" applyBorder="1" applyAlignment="1">
      <alignment horizontal="center" vertical="center"/>
    </xf>
    <xf numFmtId="43" fontId="43" fillId="14" borderId="2" xfId="1" applyFont="1" applyFill="1" applyBorder="1" applyAlignment="1">
      <alignment vertical="center"/>
    </xf>
    <xf numFmtId="43" fontId="19" fillId="0" borderId="0" xfId="1" applyFont="1" applyAlignment="1">
      <alignment horizontal="center" vertical="center"/>
    </xf>
    <xf numFmtId="43" fontId="0" fillId="0" borderId="0" xfId="0" applyNumberFormat="1" applyAlignment="1">
      <alignment vertical="center"/>
    </xf>
    <xf numFmtId="2" fontId="62" fillId="0" borderId="0" xfId="0" applyNumberFormat="1" applyFont="1" applyAlignment="1">
      <alignment vertical="center"/>
    </xf>
    <xf numFmtId="43" fontId="64" fillId="19" borderId="2" xfId="1" applyFont="1" applyFill="1" applyBorder="1" applyAlignment="1">
      <alignment vertical="center" wrapText="1"/>
    </xf>
    <xf numFmtId="4" fontId="64" fillId="19" borderId="2" xfId="0" applyNumberFormat="1" applyFont="1" applyFill="1" applyBorder="1" applyAlignment="1">
      <alignment horizontal="center" vertical="center"/>
    </xf>
    <xf numFmtId="43" fontId="64" fillId="20" borderId="2" xfId="1" applyFont="1" applyFill="1" applyBorder="1" applyAlignment="1">
      <alignment vertical="center" wrapText="1"/>
    </xf>
    <xf numFmtId="4" fontId="64" fillId="20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4" fontId="64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2" fontId="73" fillId="14" borderId="2" xfId="2" applyNumberFormat="1" applyFont="1" applyFill="1" applyBorder="1" applyAlignment="1">
      <alignment horizontal="center" vertical="center" wrapText="1"/>
    </xf>
    <xf numFmtId="2" fontId="72" fillId="0" borderId="0" xfId="0" applyNumberFormat="1" applyFont="1" applyAlignment="1">
      <alignment horizontal="center"/>
    </xf>
    <xf numFmtId="0" fontId="72" fillId="0" borderId="0" xfId="0" applyFont="1"/>
    <xf numFmtId="2" fontId="72" fillId="0" borderId="22" xfId="2" applyNumberFormat="1" applyFont="1" applyBorder="1" applyAlignment="1">
      <alignment horizontal="center" vertical="center" wrapText="1"/>
    </xf>
    <xf numFmtId="2" fontId="72" fillId="0" borderId="2" xfId="5" applyNumberFormat="1" applyFont="1" applyBorder="1" applyAlignment="1">
      <alignment horizontal="center" vertical="center"/>
    </xf>
    <xf numFmtId="1" fontId="74" fillId="14" borderId="2" xfId="2" applyNumberFormat="1" applyFont="1" applyFill="1" applyBorder="1" applyAlignment="1">
      <alignment horizontal="center" vertical="center" wrapText="1"/>
    </xf>
    <xf numFmtId="0" fontId="77" fillId="0" borderId="0" xfId="0" applyFont="1"/>
    <xf numFmtId="2" fontId="74" fillId="13" borderId="2" xfId="0" applyNumberFormat="1" applyFont="1" applyFill="1" applyBorder="1" applyAlignment="1">
      <alignment horizontal="center" vertical="center"/>
    </xf>
    <xf numFmtId="2" fontId="80" fillId="14" borderId="2" xfId="2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2" fontId="81" fillId="0" borderId="0" xfId="0" applyNumberFormat="1" applyFont="1" applyAlignment="1">
      <alignment vertical="center"/>
    </xf>
    <xf numFmtId="2" fontId="73" fillId="0" borderId="2" xfId="0" applyNumberFormat="1" applyFont="1" applyBorder="1" applyAlignment="1">
      <alignment horizontal="center" vertical="center" wrapText="1"/>
    </xf>
    <xf numFmtId="0" fontId="72" fillId="0" borderId="2" xfId="0" applyFont="1" applyBorder="1" applyAlignment="1">
      <alignment horizontal="center" vertical="center" wrapText="1"/>
    </xf>
    <xf numFmtId="2" fontId="74" fillId="15" borderId="2" xfId="0" applyNumberFormat="1" applyFont="1" applyFill="1" applyBorder="1" applyAlignment="1">
      <alignment horizontal="center" vertical="center" wrapText="1"/>
    </xf>
    <xf numFmtId="2" fontId="74" fillId="15" borderId="22" xfId="0" applyNumberFormat="1" applyFont="1" applyFill="1" applyBorder="1" applyAlignment="1">
      <alignment horizontal="center" vertical="center" wrapText="1"/>
    </xf>
    <xf numFmtId="2" fontId="72" fillId="0" borderId="2" xfId="0" applyNumberFormat="1" applyFont="1" applyBorder="1" applyAlignment="1">
      <alignment horizontal="center" vertical="center" wrapText="1"/>
    </xf>
    <xf numFmtId="2" fontId="73" fillId="0" borderId="0" xfId="0" applyNumberFormat="1" applyFont="1" applyAlignment="1">
      <alignment vertical="center"/>
    </xf>
    <xf numFmtId="2" fontId="72" fillId="0" borderId="0" xfId="0" applyNumberFormat="1" applyFont="1" applyAlignment="1">
      <alignment horizontal="center" vertical="center" wrapText="1"/>
    </xf>
    <xf numFmtId="2" fontId="21" fillId="0" borderId="2" xfId="2" applyNumberFormat="1" applyFont="1" applyBorder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/>
    </xf>
    <xf numFmtId="2" fontId="0" fillId="0" borderId="0" xfId="2" applyNumberFormat="1" applyFont="1" applyBorder="1" applyAlignment="1">
      <alignment horizontal="left" vertical="center" wrapText="1"/>
    </xf>
    <xf numFmtId="2" fontId="0" fillId="0" borderId="1" xfId="2" applyNumberFormat="1" applyFont="1" applyBorder="1" applyAlignment="1">
      <alignment horizontal="left" vertical="center" wrapText="1"/>
    </xf>
    <xf numFmtId="49" fontId="17" fillId="0" borderId="2" xfId="6" applyNumberFormat="1" applyFont="1" applyBorder="1" applyAlignment="1">
      <alignment horizontal="center" vertical="center" wrapText="1"/>
    </xf>
    <xf numFmtId="49" fontId="17" fillId="0" borderId="2" xfId="6" quotePrefix="1" applyNumberFormat="1" applyFont="1" applyBorder="1" applyAlignment="1">
      <alignment horizontal="center" vertical="center" wrapText="1"/>
    </xf>
    <xf numFmtId="2" fontId="77" fillId="0" borderId="2" xfId="0" applyNumberFormat="1" applyFont="1" applyBorder="1" applyAlignment="1">
      <alignment horizontal="center" vertical="center"/>
    </xf>
    <xf numFmtId="2" fontId="77" fillId="0" borderId="2" xfId="2" applyNumberFormat="1" applyFont="1" applyBorder="1" applyAlignment="1">
      <alignment horizontal="center" vertical="center" wrapText="1"/>
    </xf>
    <xf numFmtId="2" fontId="77" fillId="0" borderId="1" xfId="0" applyNumberFormat="1" applyFont="1" applyBorder="1" applyAlignment="1">
      <alignment horizontal="center" vertical="center"/>
    </xf>
    <xf numFmtId="2" fontId="72" fillId="0" borderId="29" xfId="2" applyNumberFormat="1" applyFont="1" applyBorder="1" applyAlignment="1">
      <alignment vertical="center" wrapText="1"/>
    </xf>
    <xf numFmtId="2" fontId="85" fillId="0" borderId="0" xfId="0" applyNumberFormat="1" applyFont="1" applyAlignment="1">
      <alignment horizontal="center"/>
    </xf>
    <xf numFmtId="0" fontId="85" fillId="0" borderId="0" xfId="0" applyFont="1"/>
    <xf numFmtId="0" fontId="17" fillId="16" borderId="0" xfId="6" applyFont="1" applyFill="1" applyAlignment="1">
      <alignment horizontal="left" vertical="center"/>
    </xf>
    <xf numFmtId="0" fontId="20" fillId="0" borderId="0" xfId="6" applyFont="1" applyAlignment="1">
      <alignment horizontal="left" vertical="center" wrapText="1"/>
    </xf>
    <xf numFmtId="49" fontId="17" fillId="0" borderId="0" xfId="5" applyNumberFormat="1" applyFont="1" applyAlignment="1">
      <alignment horizontal="center" vertical="center" wrapText="1"/>
    </xf>
    <xf numFmtId="164" fontId="17" fillId="0" borderId="0" xfId="5" quotePrefix="1" applyNumberFormat="1" applyFont="1" applyAlignment="1">
      <alignment horizontal="center" vertical="center" wrapText="1"/>
    </xf>
    <xf numFmtId="4" fontId="17" fillId="0" borderId="33" xfId="0" applyNumberFormat="1" applyFont="1" applyBorder="1" applyAlignment="1">
      <alignment horizontal="center" vertical="center"/>
    </xf>
    <xf numFmtId="43" fontId="20" fillId="0" borderId="31" xfId="1" applyFont="1" applyFill="1" applyBorder="1" applyAlignment="1">
      <alignment horizontal="center" vertical="center"/>
    </xf>
    <xf numFmtId="43" fontId="64" fillId="19" borderId="5" xfId="1" applyFont="1" applyFill="1" applyBorder="1" applyAlignment="1">
      <alignment vertical="center" wrapText="1"/>
    </xf>
    <xf numFmtId="0" fontId="32" fillId="6" borderId="2" xfId="4" applyFont="1" applyFill="1" applyBorder="1" applyAlignment="1">
      <alignment horizontal="center" vertical="center" wrapText="1"/>
    </xf>
    <xf numFmtId="4" fontId="32" fillId="0" borderId="2" xfId="4" applyNumberFormat="1" applyFont="1" applyBorder="1" applyAlignment="1">
      <alignment horizontal="center" vertical="center"/>
    </xf>
    <xf numFmtId="49" fontId="17" fillId="10" borderId="2" xfId="0" applyNumberFormat="1" applyFont="1" applyFill="1" applyBorder="1" applyAlignment="1">
      <alignment horizontal="center" vertical="center" wrapText="1"/>
    </xf>
    <xf numFmtId="49" fontId="17" fillId="0" borderId="2" xfId="5" quotePrefix="1" applyNumberFormat="1" applyFont="1" applyBorder="1" applyAlignment="1">
      <alignment horizontal="center" vertical="center" wrapText="1"/>
    </xf>
    <xf numFmtId="49" fontId="17" fillId="13" borderId="2" xfId="5" quotePrefix="1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84" fillId="0" borderId="0" xfId="0" applyFont="1" applyAlignment="1">
      <alignment vertical="center"/>
    </xf>
    <xf numFmtId="0" fontId="72" fillId="16" borderId="0" xfId="0" applyFont="1" applyFill="1" applyAlignment="1">
      <alignment vertical="center"/>
    </xf>
    <xf numFmtId="43" fontId="17" fillId="13" borderId="5" xfId="1" applyFont="1" applyFill="1" applyBorder="1" applyAlignment="1">
      <alignment horizontal="center" vertical="center" wrapText="1"/>
    </xf>
    <xf numFmtId="43" fontId="17" fillId="13" borderId="5" xfId="1" applyFont="1" applyFill="1" applyBorder="1" applyAlignment="1">
      <alignment horizontal="center" vertical="center"/>
    </xf>
    <xf numFmtId="43" fontId="17" fillId="10" borderId="5" xfId="1" applyFont="1" applyFill="1" applyBorder="1" applyAlignment="1">
      <alignment horizontal="center" vertical="center"/>
    </xf>
    <xf numFmtId="43" fontId="19" fillId="10" borderId="5" xfId="1" applyFont="1" applyFill="1" applyBorder="1" applyAlignment="1">
      <alignment horizontal="center" vertical="center"/>
    </xf>
    <xf numFmtId="0" fontId="17" fillId="0" borderId="2" xfId="7" applyFont="1" applyBorder="1" applyAlignment="1">
      <alignment horizontal="center" vertical="center" wrapText="1"/>
    </xf>
    <xf numFmtId="4" fontId="17" fillId="0" borderId="4" xfId="5" applyNumberFormat="1" applyFont="1" applyBorder="1" applyAlignment="1">
      <alignment horizontal="center" vertical="center"/>
    </xf>
    <xf numFmtId="0" fontId="20" fillId="0" borderId="33" xfId="5" applyFont="1" applyBorder="1" applyAlignment="1">
      <alignment horizontal="right" vertical="center" wrapText="1"/>
    </xf>
    <xf numFmtId="4" fontId="20" fillId="0" borderId="31" xfId="5" applyNumberFormat="1" applyFont="1" applyBorder="1" applyAlignment="1">
      <alignment horizontal="left" vertical="center" wrapText="1"/>
    </xf>
    <xf numFmtId="4" fontId="20" fillId="0" borderId="32" xfId="5" applyNumberFormat="1" applyFont="1" applyBorder="1" applyAlignment="1">
      <alignment horizontal="left" vertical="center" wrapText="1"/>
    </xf>
    <xf numFmtId="0" fontId="20" fillId="0" borderId="31" xfId="5" applyFont="1" applyBorder="1" applyAlignment="1">
      <alignment horizontal="left" vertical="center" wrapText="1"/>
    </xf>
    <xf numFmtId="0" fontId="19" fillId="12" borderId="0" xfId="0" applyFont="1" applyFill="1" applyAlignment="1">
      <alignment vertical="center" wrapText="1"/>
    </xf>
    <xf numFmtId="0" fontId="0" fillId="1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43" fontId="17" fillId="0" borderId="2" xfId="1" applyFont="1" applyFill="1" applyBorder="1" applyAlignment="1">
      <alignment vertical="center"/>
    </xf>
    <xf numFmtId="43" fontId="17" fillId="10" borderId="6" xfId="1" applyFont="1" applyFill="1" applyBorder="1" applyAlignment="1">
      <alignment vertical="center" wrapText="1"/>
    </xf>
    <xf numFmtId="43" fontId="20" fillId="13" borderId="6" xfId="1" applyFont="1" applyFill="1" applyBorder="1" applyAlignment="1">
      <alignment vertical="center"/>
    </xf>
    <xf numFmtId="43" fontId="20" fillId="13" borderId="6" xfId="1" applyFont="1" applyFill="1" applyBorder="1" applyAlignment="1">
      <alignment horizontal="center" vertical="center"/>
    </xf>
    <xf numFmtId="43" fontId="17" fillId="13" borderId="6" xfId="1" applyFont="1" applyFill="1" applyBorder="1" applyAlignment="1">
      <alignment vertical="center"/>
    </xf>
    <xf numFmtId="43" fontId="20" fillId="10" borderId="6" xfId="1" applyFont="1" applyFill="1" applyBorder="1" applyAlignment="1">
      <alignment vertical="center"/>
    </xf>
    <xf numFmtId="43" fontId="20" fillId="0" borderId="2" xfId="1" applyFont="1" applyFill="1" applyBorder="1" applyAlignment="1">
      <alignment horizontal="left" vertical="center"/>
    </xf>
    <xf numFmtId="43" fontId="17" fillId="0" borderId="2" xfId="1" applyFont="1" applyFill="1" applyBorder="1" applyAlignment="1">
      <alignment horizontal="left" vertical="center"/>
    </xf>
    <xf numFmtId="43" fontId="20" fillId="10" borderId="6" xfId="1" applyFont="1" applyFill="1" applyBorder="1" applyAlignment="1">
      <alignment horizontal="left" vertical="center"/>
    </xf>
    <xf numFmtId="43" fontId="19" fillId="13" borderId="6" xfId="1" applyFont="1" applyFill="1" applyBorder="1" applyAlignment="1">
      <alignment vertical="center"/>
    </xf>
    <xf numFmtId="43" fontId="0" fillId="10" borderId="6" xfId="1" applyFont="1" applyFill="1" applyBorder="1" applyAlignment="1">
      <alignment vertical="center"/>
    </xf>
    <xf numFmtId="43" fontId="20" fillId="13" borderId="6" xfId="1" applyFont="1" applyFill="1" applyBorder="1" applyAlignment="1">
      <alignment horizontal="left" vertical="center"/>
    </xf>
    <xf numFmtId="43" fontId="17" fillId="19" borderId="14" xfId="1" applyFont="1" applyFill="1" applyBorder="1" applyAlignment="1">
      <alignment horizontal="center" vertical="center"/>
    </xf>
    <xf numFmtId="43" fontId="20" fillId="0" borderId="5" xfId="1" applyFont="1" applyFill="1" applyBorder="1" applyAlignment="1">
      <alignment horizontal="left" vertical="center"/>
    </xf>
    <xf numFmtId="166" fontId="20" fillId="0" borderId="6" xfId="7" quotePrefix="1" applyNumberFormat="1" applyFont="1" applyBorder="1" applyAlignment="1">
      <alignment horizontal="center" vertical="center" wrapText="1"/>
    </xf>
    <xf numFmtId="43" fontId="17" fillId="0" borderId="32" xfId="1" applyFont="1" applyBorder="1" applyAlignment="1">
      <alignment horizontal="center" vertical="center"/>
    </xf>
    <xf numFmtId="4" fontId="20" fillId="0" borderId="31" xfId="5" applyNumberFormat="1" applyFont="1" applyBorder="1" applyAlignment="1">
      <alignment horizontal="center" vertical="center" wrapText="1"/>
    </xf>
    <xf numFmtId="4" fontId="20" fillId="0" borderId="31" xfId="5" applyNumberFormat="1" applyFont="1" applyBorder="1" applyAlignment="1">
      <alignment horizontal="center" vertical="center"/>
    </xf>
    <xf numFmtId="0" fontId="88" fillId="0" borderId="0" xfId="0" applyFont="1" applyAlignment="1">
      <alignment vertical="center"/>
    </xf>
    <xf numFmtId="43" fontId="64" fillId="14" borderId="2" xfId="1" applyFont="1" applyFill="1" applyBorder="1" applyAlignment="1">
      <alignment vertical="center"/>
    </xf>
    <xf numFmtId="0" fontId="17" fillId="10" borderId="0" xfId="0" applyFont="1" applyFill="1" applyAlignment="1">
      <alignment vertical="center" wrapText="1"/>
    </xf>
    <xf numFmtId="43" fontId="0" fillId="0" borderId="0" xfId="1" applyFont="1" applyAlignment="1">
      <alignment vertical="center"/>
    </xf>
    <xf numFmtId="43" fontId="17" fillId="19" borderId="32" xfId="1" applyFont="1" applyFill="1" applyBorder="1" applyAlignment="1">
      <alignment horizontal="center" vertical="center"/>
    </xf>
    <xf numFmtId="0" fontId="64" fillId="19" borderId="0" xfId="5" applyFont="1" applyFill="1" applyAlignment="1">
      <alignment horizontal="right" vertical="center" wrapText="1"/>
    </xf>
    <xf numFmtId="0" fontId="17" fillId="10" borderId="0" xfId="0" applyFont="1" applyFill="1" applyAlignment="1">
      <alignment horizontal="center" vertical="center" wrapText="1"/>
    </xf>
    <xf numFmtId="0" fontId="17" fillId="13" borderId="0" xfId="5" applyFont="1" applyFill="1" applyAlignment="1">
      <alignment horizontal="center" vertical="center" wrapText="1"/>
    </xf>
    <xf numFmtId="0" fontId="17" fillId="13" borderId="0" xfId="5" applyFont="1" applyFill="1" applyAlignment="1">
      <alignment vertical="center" wrapText="1"/>
    </xf>
    <xf numFmtId="0" fontId="17" fillId="0" borderId="0" xfId="7" applyFont="1" applyAlignment="1">
      <alignment horizontal="center" vertical="center" wrapText="1"/>
    </xf>
    <xf numFmtId="166" fontId="17" fillId="0" borderId="0" xfId="7" quotePrefix="1" applyNumberFormat="1" applyFont="1" applyAlignment="1">
      <alignment horizontal="center" vertical="center" wrapText="1"/>
    </xf>
    <xf numFmtId="0" fontId="17" fillId="0" borderId="0" xfId="7" quotePrefix="1" applyFont="1" applyAlignment="1">
      <alignment horizontal="left" vertical="center" wrapText="1"/>
    </xf>
    <xf numFmtId="0" fontId="73" fillId="0" borderId="0" xfId="7" applyFont="1" applyAlignment="1">
      <alignment horizontal="center" vertical="center" wrapText="1"/>
    </xf>
    <xf numFmtId="166" fontId="72" fillId="0" borderId="0" xfId="7" quotePrefix="1" applyNumberFormat="1" applyFont="1" applyAlignment="1">
      <alignment horizontal="center" vertical="center" wrapText="1"/>
    </xf>
    <xf numFmtId="0" fontId="20" fillId="0" borderId="0" xfId="7" applyFont="1" applyAlignment="1">
      <alignment horizontal="left" vertical="center" wrapText="1"/>
    </xf>
    <xf numFmtId="0" fontId="20" fillId="0" borderId="0" xfId="7" applyFont="1" applyAlignment="1">
      <alignment horizontal="center" vertical="center" wrapText="1"/>
    </xf>
    <xf numFmtId="0" fontId="72" fillId="0" borderId="0" xfId="7" applyFont="1" applyAlignment="1">
      <alignment horizontal="left" vertical="center" wrapText="1"/>
    </xf>
    <xf numFmtId="0" fontId="72" fillId="0" borderId="0" xfId="7" applyFont="1" applyAlignment="1">
      <alignment horizontal="center" vertical="center" wrapText="1"/>
    </xf>
    <xf numFmtId="4" fontId="72" fillId="0" borderId="0" xfId="7" applyNumberFormat="1" applyFont="1" applyAlignment="1">
      <alignment horizontal="center" vertical="center"/>
    </xf>
    <xf numFmtId="0" fontId="17" fillId="0" borderId="0" xfId="7" applyFont="1" applyAlignment="1">
      <alignment horizontal="left" vertical="center" wrapText="1"/>
    </xf>
    <xf numFmtId="0" fontId="89" fillId="0" borderId="0" xfId="0" applyFont="1" applyAlignment="1">
      <alignment horizontal="center" vertical="center"/>
    </xf>
    <xf numFmtId="0" fontId="17" fillId="0" borderId="22" xfId="5" quotePrefix="1" applyFont="1" applyBorder="1" applyAlignment="1">
      <alignment horizontal="center" vertical="center" wrapText="1"/>
    </xf>
    <xf numFmtId="166" fontId="17" fillId="0" borderId="0" xfId="7" applyNumberFormat="1" applyFont="1" applyAlignment="1">
      <alignment horizontal="center" vertical="center" wrapText="1"/>
    </xf>
    <xf numFmtId="4" fontId="20" fillId="0" borderId="31" xfId="5" applyNumberFormat="1" applyFont="1" applyBorder="1" applyAlignment="1">
      <alignment horizontal="right" vertical="center" wrapText="1"/>
    </xf>
    <xf numFmtId="0" fontId="17" fillId="0" borderId="43" xfId="5" applyFont="1" applyBorder="1" applyAlignment="1">
      <alignment horizontal="center" vertical="center" wrapText="1"/>
    </xf>
    <xf numFmtId="0" fontId="20" fillId="0" borderId="33" xfId="0" applyFont="1" applyBorder="1" applyAlignment="1">
      <alignment horizontal="right" vertical="center" wrapText="1"/>
    </xf>
    <xf numFmtId="165" fontId="20" fillId="0" borderId="31" xfId="0" applyNumberFormat="1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4" fontId="20" fillId="0" borderId="33" xfId="5" quotePrefix="1" applyNumberFormat="1" applyFont="1" applyBorder="1" applyAlignment="1">
      <alignment horizontal="left" vertical="center" wrapText="1"/>
    </xf>
    <xf numFmtId="43" fontId="17" fillId="10" borderId="5" xfId="1" applyFont="1" applyFill="1" applyBorder="1" applyAlignment="1">
      <alignment vertical="center" wrapText="1"/>
    </xf>
    <xf numFmtId="0" fontId="17" fillId="0" borderId="4" xfId="7" applyFont="1" applyBorder="1" applyAlignment="1">
      <alignment horizontal="center" vertical="center" wrapText="1"/>
    </xf>
    <xf numFmtId="43" fontId="17" fillId="19" borderId="1" xfId="1" applyFont="1" applyFill="1" applyBorder="1" applyAlignment="1">
      <alignment horizontal="center" vertical="center"/>
    </xf>
    <xf numFmtId="43" fontId="0" fillId="0" borderId="0" xfId="1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43" fontId="0" fillId="0" borderId="31" xfId="1" applyFont="1" applyBorder="1" applyAlignment="1">
      <alignment vertical="center"/>
    </xf>
    <xf numFmtId="43" fontId="0" fillId="0" borderId="32" xfId="1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43" fontId="64" fillId="20" borderId="1" xfId="0" applyNumberFormat="1" applyFont="1" applyFill="1" applyBorder="1" applyAlignment="1">
      <alignment vertical="center"/>
    </xf>
    <xf numFmtId="0" fontId="20" fillId="0" borderId="31" xfId="7" applyFont="1" applyBorder="1" applyAlignment="1">
      <alignment horizontal="center" vertical="center" wrapText="1"/>
    </xf>
    <xf numFmtId="0" fontId="17" fillId="10" borderId="2" xfId="26" applyFont="1" applyFill="1" applyBorder="1" applyAlignment="1">
      <alignment horizontal="center" vertical="center" wrapText="1"/>
    </xf>
    <xf numFmtId="0" fontId="17" fillId="0" borderId="2" xfId="26" applyFont="1" applyBorder="1" applyAlignment="1">
      <alignment horizontal="center" vertical="center"/>
    </xf>
    <xf numFmtId="4" fontId="17" fillId="0" borderId="0" xfId="7" applyNumberFormat="1" applyFont="1" applyAlignment="1">
      <alignment horizontal="center" vertical="center"/>
    </xf>
    <xf numFmtId="0" fontId="17" fillId="0" borderId="0" xfId="5" applyFont="1" applyAlignment="1">
      <alignment vertical="center" wrapText="1"/>
    </xf>
    <xf numFmtId="4" fontId="17" fillId="0" borderId="4" xfId="7" applyNumberFormat="1" applyFont="1" applyBorder="1" applyAlignment="1">
      <alignment horizontal="center" vertical="center"/>
    </xf>
    <xf numFmtId="4" fontId="34" fillId="0" borderId="2" xfId="4" applyNumberFormat="1" applyFont="1" applyBorder="1" applyAlignment="1">
      <alignment horizontal="center" vertical="center"/>
    </xf>
    <xf numFmtId="43" fontId="77" fillId="0" borderId="0" xfId="0" applyNumberFormat="1" applyFont="1" applyAlignment="1">
      <alignment vertical="center"/>
    </xf>
    <xf numFmtId="43" fontId="74" fillId="0" borderId="0" xfId="0" applyNumberFormat="1" applyFont="1" applyAlignment="1">
      <alignment vertical="center"/>
    </xf>
    <xf numFmtId="4" fontId="20" fillId="0" borderId="33" xfId="5" applyNumberFormat="1" applyFont="1" applyBorder="1" applyAlignment="1">
      <alignment horizontal="right" vertical="center" wrapText="1"/>
    </xf>
    <xf numFmtId="43" fontId="17" fillId="0" borderId="6" xfId="1" applyFont="1" applyFill="1" applyBorder="1" applyAlignment="1">
      <alignment vertical="center"/>
    </xf>
    <xf numFmtId="43" fontId="17" fillId="0" borderId="5" xfId="1" applyFont="1" applyFill="1" applyBorder="1" applyAlignment="1">
      <alignment horizontal="center" vertical="center" wrapText="1"/>
    </xf>
    <xf numFmtId="43" fontId="0" fillId="0" borderId="32" xfId="1" applyFont="1" applyFill="1" applyBorder="1" applyAlignment="1">
      <alignment horizontal="center" vertical="center"/>
    </xf>
    <xf numFmtId="4" fontId="20" fillId="0" borderId="14" xfId="6" applyNumberFormat="1" applyFont="1" applyBorder="1" applyAlignment="1">
      <alignment horizontal="center" vertical="center"/>
    </xf>
    <xf numFmtId="0" fontId="17" fillId="0" borderId="14" xfId="6" applyFont="1" applyBorder="1" applyAlignment="1">
      <alignment horizontal="center" vertical="center" wrapText="1"/>
    </xf>
    <xf numFmtId="0" fontId="20" fillId="0" borderId="14" xfId="6" applyFont="1" applyBorder="1" applyAlignment="1">
      <alignment horizontal="center" vertical="center" wrapText="1"/>
    </xf>
    <xf numFmtId="43" fontId="17" fillId="0" borderId="14" xfId="1" applyFont="1" applyFill="1" applyBorder="1" applyAlignment="1">
      <alignment horizontal="center" vertical="center"/>
    </xf>
    <xf numFmtId="4" fontId="20" fillId="0" borderId="33" xfId="5" applyNumberFormat="1" applyFont="1" applyBorder="1" applyAlignment="1">
      <alignment horizontal="center" vertical="center"/>
    </xf>
    <xf numFmtId="49" fontId="17" fillId="0" borderId="14" xfId="6" quotePrefix="1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4" fontId="17" fillId="0" borderId="33" xfId="5" applyNumberFormat="1" applyFont="1" applyBorder="1" applyAlignment="1">
      <alignment horizontal="center" vertical="center"/>
    </xf>
    <xf numFmtId="43" fontId="17" fillId="0" borderId="14" xfId="1" applyFont="1" applyBorder="1" applyAlignment="1">
      <alignment horizontal="center" vertical="center"/>
    </xf>
    <xf numFmtId="4" fontId="17" fillId="0" borderId="14" xfId="5" applyNumberFormat="1" applyFont="1" applyBorder="1" applyAlignment="1">
      <alignment horizontal="center" vertical="center"/>
    </xf>
    <xf numFmtId="4" fontId="20" fillId="0" borderId="14" xfId="7" applyNumberFormat="1" applyFont="1" applyBorder="1" applyAlignment="1">
      <alignment horizontal="center" vertical="center"/>
    </xf>
    <xf numFmtId="4" fontId="20" fillId="0" borderId="0" xfId="7" applyNumberFormat="1" applyFont="1" applyAlignment="1">
      <alignment horizontal="center" vertical="center"/>
    </xf>
    <xf numFmtId="4" fontId="19" fillId="0" borderId="0" xfId="0" applyNumberFormat="1" applyFont="1" applyAlignment="1">
      <alignment vertical="center"/>
    </xf>
    <xf numFmtId="166" fontId="17" fillId="0" borderId="14" xfId="7" quotePrefix="1" applyNumberFormat="1" applyFont="1" applyBorder="1" applyAlignment="1">
      <alignment horizontal="center" vertical="center" wrapText="1"/>
    </xf>
    <xf numFmtId="0" fontId="20" fillId="0" borderId="14" xfId="5" applyFont="1" applyBorder="1" applyAlignment="1">
      <alignment horizontal="center" vertical="center" wrapText="1"/>
    </xf>
    <xf numFmtId="4" fontId="20" fillId="0" borderId="14" xfId="5" applyNumberFormat="1" applyFont="1" applyBorder="1" applyAlignment="1">
      <alignment horizontal="center" vertical="center"/>
    </xf>
    <xf numFmtId="0" fontId="17" fillId="0" borderId="14" xfId="5" applyFont="1" applyBorder="1" applyAlignment="1">
      <alignment horizontal="center" vertical="center" wrapText="1"/>
    </xf>
    <xf numFmtId="0" fontId="17" fillId="0" borderId="0" xfId="5" applyFont="1" applyAlignment="1">
      <alignment horizontal="center" vertical="center" wrapText="1"/>
    </xf>
    <xf numFmtId="0" fontId="20" fillId="0" borderId="0" xfId="5" applyFont="1" applyAlignment="1">
      <alignment horizontal="center" vertical="center" wrapText="1"/>
    </xf>
    <xf numFmtId="0" fontId="20" fillId="0" borderId="0" xfId="5" applyFont="1" applyAlignment="1">
      <alignment vertical="center" wrapText="1"/>
    </xf>
    <xf numFmtId="4" fontId="20" fillId="0" borderId="0" xfId="5" applyNumberFormat="1" applyFont="1" applyAlignment="1">
      <alignment vertical="center" wrapText="1"/>
    </xf>
    <xf numFmtId="0" fontId="20" fillId="0" borderId="33" xfId="5" applyFont="1" applyBorder="1" applyAlignment="1">
      <alignment horizontal="center" vertical="center" wrapText="1"/>
    </xf>
    <xf numFmtId="4" fontId="20" fillId="0" borderId="31" xfId="5" applyNumberFormat="1" applyFont="1" applyBorder="1" applyAlignment="1">
      <alignment vertical="center" wrapText="1"/>
    </xf>
    <xf numFmtId="0" fontId="20" fillId="0" borderId="31" xfId="5" applyFont="1" applyBorder="1" applyAlignment="1">
      <alignment vertical="center" wrapText="1"/>
    </xf>
    <xf numFmtId="0" fontId="20" fillId="0" borderId="32" xfId="5" applyFont="1" applyBorder="1" applyAlignment="1">
      <alignment vertical="center" wrapText="1"/>
    </xf>
    <xf numFmtId="4" fontId="20" fillId="0" borderId="1" xfId="7" applyNumberFormat="1" applyFont="1" applyBorder="1" applyAlignment="1">
      <alignment horizontal="center" vertical="center"/>
    </xf>
    <xf numFmtId="0" fontId="17" fillId="13" borderId="2" xfId="5" quotePrefix="1" applyFont="1" applyFill="1" applyBorder="1" applyAlignment="1">
      <alignment horizontal="center" vertical="center" wrapText="1"/>
    </xf>
    <xf numFmtId="0" fontId="17" fillId="0" borderId="14" xfId="5" applyFont="1" applyBorder="1" applyAlignment="1">
      <alignment vertical="center" wrapText="1"/>
    </xf>
    <xf numFmtId="166" fontId="17" fillId="0" borderId="2" xfId="7" applyNumberFormat="1" applyFont="1" applyBorder="1" applyAlignment="1">
      <alignment horizontal="center" vertical="center" wrapText="1"/>
    </xf>
    <xf numFmtId="0" fontId="17" fillId="0" borderId="2" xfId="7" quotePrefix="1" applyFont="1" applyBorder="1" applyAlignment="1">
      <alignment horizontal="left" vertical="center" wrapText="1"/>
    </xf>
    <xf numFmtId="4" fontId="17" fillId="0" borderId="2" xfId="7" applyNumberFormat="1" applyFont="1" applyBorder="1" applyAlignment="1">
      <alignment horizontal="center" vertical="center"/>
    </xf>
    <xf numFmtId="0" fontId="20" fillId="0" borderId="2" xfId="7" applyFont="1" applyBorder="1" applyAlignment="1">
      <alignment horizontal="center" vertical="center" wrapText="1"/>
    </xf>
    <xf numFmtId="4" fontId="20" fillId="0" borderId="2" xfId="7" applyNumberFormat="1" applyFont="1" applyBorder="1" applyAlignment="1">
      <alignment horizontal="center" vertical="center"/>
    </xf>
    <xf numFmtId="166" fontId="17" fillId="0" borderId="2" xfId="7" quotePrefix="1" applyNumberFormat="1" applyFont="1" applyBorder="1" applyAlignment="1">
      <alignment horizontal="center" vertical="center" wrapText="1"/>
    </xf>
    <xf numFmtId="4" fontId="73" fillId="0" borderId="0" xfId="7" applyNumberFormat="1" applyFont="1" applyAlignment="1">
      <alignment horizontal="center" vertical="center"/>
    </xf>
    <xf numFmtId="49" fontId="17" fillId="13" borderId="2" xfId="5" applyNumberFormat="1" applyFont="1" applyFill="1" applyBorder="1" applyAlignment="1">
      <alignment horizontal="center" vertical="center" wrapText="1"/>
    </xf>
    <xf numFmtId="49" fontId="17" fillId="0" borderId="2" xfId="5" applyNumberFormat="1" applyFont="1" applyBorder="1" applyAlignment="1">
      <alignment horizontal="center" vertical="center" wrapText="1"/>
    </xf>
    <xf numFmtId="0" fontId="20" fillId="0" borderId="2" xfId="7" quotePrefix="1" applyFont="1" applyBorder="1" applyAlignment="1">
      <alignment horizontal="left" vertical="center" wrapText="1"/>
    </xf>
    <xf numFmtId="166" fontId="20" fillId="0" borderId="2" xfId="7" quotePrefix="1" applyNumberFormat="1" applyFont="1" applyBorder="1" applyAlignment="1">
      <alignment horizontal="center" vertical="center" wrapText="1"/>
    </xf>
    <xf numFmtId="0" fontId="64" fillId="19" borderId="4" xfId="5" applyFont="1" applyFill="1" applyBorder="1" applyAlignment="1">
      <alignment horizontal="right" vertical="center" wrapText="1"/>
    </xf>
    <xf numFmtId="0" fontId="64" fillId="19" borderId="6" xfId="5" applyFont="1" applyFill="1" applyBorder="1" applyAlignment="1">
      <alignment horizontal="right" vertical="center" wrapText="1"/>
    </xf>
    <xf numFmtId="0" fontId="17" fillId="13" borderId="14" xfId="5" quotePrefix="1" applyFont="1" applyFill="1" applyBorder="1" applyAlignment="1">
      <alignment horizontal="center" vertical="center" wrapText="1"/>
    </xf>
    <xf numFmtId="0" fontId="17" fillId="0" borderId="9" xfId="5" applyFont="1" applyBorder="1" applyAlignment="1">
      <alignment horizontal="center" vertical="center" wrapText="1"/>
    </xf>
    <xf numFmtId="0" fontId="17" fillId="0" borderId="33" xfId="7" applyFont="1" applyBorder="1" applyAlignment="1">
      <alignment horizontal="left" vertical="center" wrapText="1"/>
    </xf>
    <xf numFmtId="4" fontId="17" fillId="0" borderId="31" xfId="7" applyNumberFormat="1" applyFont="1" applyBorder="1" applyAlignment="1">
      <alignment horizontal="left" vertical="center" wrapText="1"/>
    </xf>
    <xf numFmtId="0" fontId="17" fillId="0" borderId="31" xfId="7" applyFont="1" applyBorder="1" applyAlignment="1">
      <alignment horizontal="left" vertical="center" wrapText="1"/>
    </xf>
    <xf numFmtId="0" fontId="17" fillId="0" borderId="32" xfId="7" applyFont="1" applyBorder="1" applyAlignment="1">
      <alignment horizontal="left" vertical="center" wrapText="1"/>
    </xf>
    <xf numFmtId="0" fontId="17" fillId="0" borderId="33" xfId="5" applyFont="1" applyBorder="1" applyAlignment="1">
      <alignment horizontal="right" vertical="center" wrapText="1"/>
    </xf>
    <xf numFmtId="4" fontId="17" fillId="0" borderId="31" xfId="5" applyNumberFormat="1" applyFont="1" applyBorder="1" applyAlignment="1">
      <alignment horizontal="left" vertical="center" wrapText="1"/>
    </xf>
    <xf numFmtId="4" fontId="17" fillId="0" borderId="32" xfId="5" applyNumberFormat="1" applyFont="1" applyBorder="1" applyAlignment="1">
      <alignment horizontal="left" vertical="center" wrapText="1"/>
    </xf>
    <xf numFmtId="4" fontId="17" fillId="0" borderId="14" xfId="7" applyNumberFormat="1" applyFont="1" applyBorder="1" applyAlignment="1">
      <alignment horizontal="center" vertical="center"/>
    </xf>
    <xf numFmtId="0" fontId="93" fillId="0" borderId="14" xfId="70" applyFont="1" applyBorder="1" applyAlignment="1">
      <alignment horizontal="center" vertical="center" wrapText="1"/>
    </xf>
    <xf numFmtId="0" fontId="17" fillId="0" borderId="44" xfId="7" applyFont="1" applyBorder="1" applyAlignment="1">
      <alignment horizontal="right" vertical="center" wrapText="1"/>
    </xf>
    <xf numFmtId="4" fontId="17" fillId="0" borderId="31" xfId="5" applyNumberFormat="1" applyFont="1" applyBorder="1" applyAlignment="1">
      <alignment vertical="center" wrapText="1"/>
    </xf>
    <xf numFmtId="0" fontId="17" fillId="0" borderId="1" xfId="7" applyFont="1" applyBorder="1" applyAlignment="1">
      <alignment horizontal="left" vertical="center" wrapText="1"/>
    </xf>
    <xf numFmtId="0" fontId="17" fillId="0" borderId="44" xfId="7" applyFont="1" applyBorder="1" applyAlignment="1">
      <alignment horizontal="left" vertical="center" wrapText="1"/>
    </xf>
    <xf numFmtId="43" fontId="19" fillId="0" borderId="2" xfId="1" applyFont="1" applyBorder="1" applyAlignment="1">
      <alignment vertical="center"/>
    </xf>
    <xf numFmtId="0" fontId="73" fillId="0" borderId="2" xfId="7" applyFont="1" applyBorder="1" applyAlignment="1">
      <alignment horizontal="center" vertical="center" wrapText="1"/>
    </xf>
    <xf numFmtId="4" fontId="73" fillId="0" borderId="2" xfId="7" applyNumberFormat="1" applyFont="1" applyBorder="1" applyAlignment="1">
      <alignment horizontal="center" vertical="center"/>
    </xf>
    <xf numFmtId="0" fontId="73" fillId="10" borderId="2" xfId="0" applyFont="1" applyFill="1" applyBorder="1" applyAlignment="1">
      <alignment horizontal="center" vertical="center" wrapText="1"/>
    </xf>
    <xf numFmtId="0" fontId="72" fillId="0" borderId="2" xfId="7" applyFont="1" applyBorder="1" applyAlignment="1">
      <alignment horizontal="center" vertical="center" wrapText="1"/>
    </xf>
    <xf numFmtId="4" fontId="72" fillId="0" borderId="2" xfId="7" applyNumberFormat="1" applyFont="1" applyBorder="1" applyAlignment="1">
      <alignment horizontal="center" vertical="center"/>
    </xf>
    <xf numFmtId="0" fontId="72" fillId="0" borderId="33" xfId="5" applyFont="1" applyBorder="1" applyAlignment="1">
      <alignment horizontal="center" vertical="center" wrapText="1"/>
    </xf>
    <xf numFmtId="4" fontId="72" fillId="0" borderId="31" xfId="5" applyNumberFormat="1" applyFont="1" applyBorder="1" applyAlignment="1">
      <alignment vertical="center" wrapText="1"/>
    </xf>
    <xf numFmtId="0" fontId="72" fillId="0" borderId="31" xfId="5" applyFont="1" applyBorder="1" applyAlignment="1">
      <alignment vertical="center" wrapText="1"/>
    </xf>
    <xf numFmtId="0" fontId="72" fillId="0" borderId="32" xfId="5" applyFont="1" applyBorder="1" applyAlignment="1">
      <alignment vertical="center" wrapText="1"/>
    </xf>
    <xf numFmtId="49" fontId="17" fillId="12" borderId="2" xfId="0" applyNumberFormat="1" applyFont="1" applyFill="1" applyBorder="1" applyAlignment="1">
      <alignment horizontal="center" vertical="center" wrapText="1"/>
    </xf>
    <xf numFmtId="0" fontId="17" fillId="12" borderId="2" xfId="5" applyFont="1" applyFill="1" applyBorder="1" applyAlignment="1">
      <alignment horizontal="center" vertical="center" wrapText="1"/>
    </xf>
    <xf numFmtId="0" fontId="73" fillId="0" borderId="33" xfId="7" applyFont="1" applyBorder="1" applyAlignment="1">
      <alignment horizontal="left" vertical="center" wrapText="1"/>
    </xf>
    <xf numFmtId="4" fontId="73" fillId="0" borderId="31" xfId="7" applyNumberFormat="1" applyFont="1" applyBorder="1" applyAlignment="1">
      <alignment horizontal="left" vertical="center" wrapText="1"/>
    </xf>
    <xf numFmtId="0" fontId="73" fillId="0" borderId="31" xfId="7" applyFont="1" applyBorder="1" applyAlignment="1">
      <alignment horizontal="left" vertical="center" wrapText="1"/>
    </xf>
    <xf numFmtId="0" fontId="73" fillId="0" borderId="32" xfId="7" applyFont="1" applyBorder="1" applyAlignment="1">
      <alignment horizontal="left" vertical="center" wrapText="1"/>
    </xf>
    <xf numFmtId="43" fontId="74" fillId="0" borderId="2" xfId="1" applyFont="1" applyBorder="1" applyAlignment="1">
      <alignment vertical="center"/>
    </xf>
    <xf numFmtId="166" fontId="73" fillId="0" borderId="0" xfId="7" quotePrefix="1" applyNumberFormat="1" applyFont="1" applyAlignment="1">
      <alignment horizontal="center" vertical="center" wrapText="1"/>
    </xf>
    <xf numFmtId="0" fontId="73" fillId="0" borderId="0" xfId="7" quotePrefix="1" applyFont="1" applyAlignment="1">
      <alignment horizontal="left" vertical="center" wrapText="1"/>
    </xf>
    <xf numFmtId="0" fontId="73" fillId="0" borderId="14" xfId="5" applyFont="1" applyBorder="1" applyAlignment="1">
      <alignment vertical="center" wrapText="1"/>
    </xf>
    <xf numFmtId="43" fontId="77" fillId="0" borderId="2" xfId="1" applyFont="1" applyBorder="1" applyAlignment="1">
      <alignment vertical="center"/>
    </xf>
    <xf numFmtId="0" fontId="17" fillId="13" borderId="2" xfId="5" applyFont="1" applyFill="1" applyBorder="1" applyAlignment="1">
      <alignment horizontal="left" vertical="center" wrapText="1"/>
    </xf>
    <xf numFmtId="0" fontId="17" fillId="0" borderId="33" xfId="7" applyFont="1" applyBorder="1" applyAlignment="1">
      <alignment horizontal="center" vertical="center" wrapText="1"/>
    </xf>
    <xf numFmtId="0" fontId="17" fillId="13" borderId="4" xfId="5" applyFont="1" applyFill="1" applyBorder="1" applyAlignment="1">
      <alignment horizontal="left" vertical="center" wrapText="1"/>
    </xf>
    <xf numFmtId="0" fontId="17" fillId="13" borderId="6" xfId="5" applyFont="1" applyFill="1" applyBorder="1" applyAlignment="1">
      <alignment horizontal="left" vertical="center" wrapText="1"/>
    </xf>
    <xf numFmtId="0" fontId="17" fillId="13" borderId="5" xfId="5" applyFont="1" applyFill="1" applyBorder="1" applyAlignment="1">
      <alignment horizontal="left" vertical="center" wrapText="1"/>
    </xf>
    <xf numFmtId="164" fontId="24" fillId="11" borderId="2" xfId="5" applyNumberFormat="1" applyFont="1" applyFill="1" applyBorder="1" applyAlignment="1">
      <alignment horizontal="left" vertical="center" wrapText="1"/>
    </xf>
    <xf numFmtId="0" fontId="64" fillId="20" borderId="6" xfId="5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left" vertical="center" wrapText="1"/>
    </xf>
    <xf numFmtId="0" fontId="17" fillId="10" borderId="6" xfId="0" applyFont="1" applyFill="1" applyBorder="1" applyAlignment="1">
      <alignment horizontal="left" vertical="center" wrapText="1"/>
    </xf>
    <xf numFmtId="0" fontId="17" fillId="10" borderId="5" xfId="0" applyFont="1" applyFill="1" applyBorder="1" applyAlignment="1">
      <alignment horizontal="left" vertical="center" wrapText="1"/>
    </xf>
    <xf numFmtId="49" fontId="17" fillId="12" borderId="2" xfId="6" quotePrefix="1" applyNumberFormat="1" applyFont="1" applyFill="1" applyBorder="1" applyAlignment="1">
      <alignment horizontal="center" vertical="center" wrapText="1"/>
    </xf>
    <xf numFmtId="49" fontId="17" fillId="12" borderId="14" xfId="6" quotePrefix="1" applyNumberFormat="1" applyFont="1" applyFill="1" applyBorder="1" applyAlignment="1">
      <alignment horizontal="center" vertical="center" wrapText="1"/>
    </xf>
    <xf numFmtId="166" fontId="17" fillId="12" borderId="2" xfId="7" applyNumberFormat="1" applyFont="1" applyFill="1" applyBorder="1" applyAlignment="1">
      <alignment horizontal="center" vertical="center" wrapText="1"/>
    </xf>
    <xf numFmtId="166" fontId="20" fillId="12" borderId="2" xfId="7" quotePrefix="1" applyNumberFormat="1" applyFont="1" applyFill="1" applyBorder="1" applyAlignment="1">
      <alignment horizontal="center" vertical="center" wrapText="1"/>
    </xf>
    <xf numFmtId="166" fontId="73" fillId="0" borderId="2" xfId="7" quotePrefix="1" applyNumberFormat="1" applyFont="1" applyBorder="1" applyAlignment="1">
      <alignment horizontal="center" vertical="center" wrapText="1"/>
    </xf>
    <xf numFmtId="0" fontId="20" fillId="0" borderId="33" xfId="5" quotePrefix="1" applyFont="1" applyBorder="1" applyAlignment="1">
      <alignment horizontal="right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center" wrapText="1"/>
    </xf>
    <xf numFmtId="166" fontId="93" fillId="0" borderId="2" xfId="7" applyNumberFormat="1" applyFont="1" applyBorder="1" applyAlignment="1">
      <alignment horizontal="center" vertical="center" wrapText="1"/>
    </xf>
    <xf numFmtId="0" fontId="20" fillId="12" borderId="2" xfId="6" applyFont="1" applyFill="1" applyBorder="1" applyAlignment="1">
      <alignment horizontal="left" vertical="center"/>
    </xf>
    <xf numFmtId="0" fontId="98" fillId="0" borderId="0" xfId="86" applyFont="1"/>
    <xf numFmtId="0" fontId="97" fillId="21" borderId="0" xfId="86" applyFont="1" applyFill="1"/>
    <xf numFmtId="0" fontId="97" fillId="0" borderId="0" xfId="86" applyFont="1" applyAlignment="1">
      <alignment horizontal="right"/>
    </xf>
    <xf numFmtId="0" fontId="98" fillId="0" borderId="0" xfId="86" applyFont="1" applyAlignment="1">
      <alignment horizontal="center"/>
    </xf>
    <xf numFmtId="0" fontId="97" fillId="0" borderId="31" xfId="86" applyFont="1" applyBorder="1"/>
    <xf numFmtId="0" fontId="97" fillId="0" borderId="0" xfId="86" applyFont="1"/>
    <xf numFmtId="0" fontId="97" fillId="0" borderId="0" xfId="86" applyFont="1" applyAlignment="1">
      <alignment horizontal="center"/>
    </xf>
    <xf numFmtId="4" fontId="97" fillId="0" borderId="0" xfId="86" applyNumberFormat="1" applyFont="1"/>
    <xf numFmtId="164" fontId="93" fillId="0" borderId="2" xfId="5" applyNumberFormat="1" applyFont="1" applyBorder="1" applyAlignment="1">
      <alignment horizontal="center" vertical="center" wrapText="1"/>
    </xf>
    <xf numFmtId="0" fontId="93" fillId="0" borderId="2" xfId="5" applyFont="1" applyBorder="1" applyAlignment="1">
      <alignment horizontal="center" vertical="center" wrapText="1"/>
    </xf>
    <xf numFmtId="0" fontId="77" fillId="3" borderId="0" xfId="0" applyFont="1" applyFill="1" applyAlignment="1">
      <alignment vertical="center"/>
    </xf>
    <xf numFmtId="4" fontId="20" fillId="0" borderId="2" xfId="5" applyNumberFormat="1" applyFont="1" applyBorder="1" applyAlignment="1">
      <alignment horizontal="center" vertical="center" wrapText="1"/>
    </xf>
    <xf numFmtId="0" fontId="72" fillId="0" borderId="2" xfId="5" applyFont="1" applyBorder="1" applyAlignment="1">
      <alignment horizontal="right" vertical="center" wrapText="1"/>
    </xf>
    <xf numFmtId="0" fontId="72" fillId="0" borderId="2" xfId="6" applyFont="1" applyBorder="1" applyAlignment="1">
      <alignment horizontal="left" vertical="center"/>
    </xf>
    <xf numFmtId="4" fontId="72" fillId="0" borderId="2" xfId="6" applyNumberFormat="1" applyFont="1" applyBorder="1" applyAlignment="1">
      <alignment horizontal="left" vertical="center"/>
    </xf>
    <xf numFmtId="4" fontId="20" fillId="0" borderId="2" xfId="6" applyNumberFormat="1" applyFont="1" applyBorder="1" applyAlignment="1">
      <alignment horizontal="left" vertical="center"/>
    </xf>
    <xf numFmtId="0" fontId="32" fillId="6" borderId="2" xfId="4" applyFont="1" applyFill="1" applyBorder="1" applyAlignment="1">
      <alignment horizontal="center" vertical="center"/>
    </xf>
    <xf numFmtId="49" fontId="73" fillId="0" borderId="2" xfId="6" quotePrefix="1" applyNumberFormat="1" applyFont="1" applyBorder="1" applyAlignment="1">
      <alignment horizontal="center" vertical="center" wrapText="1"/>
    </xf>
    <xf numFmtId="49" fontId="73" fillId="0" borderId="2" xfId="6" applyNumberFormat="1" applyFont="1" applyBorder="1" applyAlignment="1">
      <alignment horizontal="center" vertical="center" wrapText="1"/>
    </xf>
    <xf numFmtId="4" fontId="72" fillId="0" borderId="2" xfId="5" applyNumberFormat="1" applyFont="1" applyBorder="1" applyAlignment="1">
      <alignment horizontal="left" vertical="center" wrapText="1"/>
    </xf>
    <xf numFmtId="49" fontId="20" fillId="0" borderId="2" xfId="5" quotePrefix="1" applyNumberFormat="1" applyFont="1" applyBorder="1" applyAlignment="1">
      <alignment horizontal="center" vertical="center" wrapText="1"/>
    </xf>
    <xf numFmtId="0" fontId="64" fillId="19" borderId="2" xfId="5" applyFont="1" applyFill="1" applyBorder="1" applyAlignment="1">
      <alignment horizontal="right" vertical="center" wrapText="1"/>
    </xf>
    <xf numFmtId="0" fontId="73" fillId="13" borderId="2" xfId="5" applyFont="1" applyFill="1" applyBorder="1" applyAlignment="1">
      <alignment horizontal="left" vertical="center" wrapText="1"/>
    </xf>
    <xf numFmtId="166" fontId="73" fillId="0" borderId="2" xfId="7" applyNumberFormat="1" applyFont="1" applyBorder="1" applyAlignment="1">
      <alignment horizontal="center" vertical="center" wrapText="1"/>
    </xf>
    <xf numFmtId="170" fontId="99" fillId="0" borderId="2" xfId="7" applyNumberFormat="1" applyFont="1" applyBorder="1" applyAlignment="1">
      <alignment horizontal="left" vertical="center" wrapText="1"/>
    </xf>
    <xf numFmtId="4" fontId="99" fillId="0" borderId="2" xfId="7" applyNumberFormat="1" applyFont="1" applyBorder="1" applyAlignment="1">
      <alignment horizontal="left" vertical="center" wrapText="1"/>
    </xf>
    <xf numFmtId="4" fontId="99" fillId="0" borderId="2" xfId="7" quotePrefix="1" applyNumberFormat="1" applyFont="1" applyBorder="1" applyAlignment="1">
      <alignment horizontal="left" vertical="center" wrapText="1"/>
    </xf>
    <xf numFmtId="4" fontId="100" fillId="0" borderId="2" xfId="7" applyNumberFormat="1" applyFont="1" applyBorder="1" applyAlignment="1">
      <alignment horizontal="left" vertical="center" wrapText="1"/>
    </xf>
    <xf numFmtId="0" fontId="101" fillId="0" borderId="2" xfId="7" applyFont="1" applyBorder="1" applyAlignment="1">
      <alignment horizontal="left" vertical="center" wrapText="1"/>
    </xf>
    <xf numFmtId="43" fontId="17" fillId="0" borderId="2" xfId="1" applyFont="1" applyFill="1" applyBorder="1" applyAlignment="1">
      <alignment horizontal="right" vertical="center" wrapText="1"/>
    </xf>
    <xf numFmtId="43" fontId="77" fillId="12" borderId="2" xfId="1" applyFont="1" applyFill="1" applyBorder="1" applyAlignment="1">
      <alignment vertical="center"/>
    </xf>
    <xf numFmtId="0" fontId="17" fillId="0" borderId="5" xfId="5" applyFont="1" applyBorder="1" applyAlignment="1">
      <alignment vertical="center" wrapText="1"/>
    </xf>
    <xf numFmtId="43" fontId="0" fillId="12" borderId="2" xfId="1" applyFont="1" applyFill="1" applyBorder="1" applyAlignment="1">
      <alignment vertical="center"/>
    </xf>
    <xf numFmtId="43" fontId="20" fillId="12" borderId="2" xfId="1" applyFont="1" applyFill="1" applyBorder="1" applyAlignment="1">
      <alignment horizontal="left" vertical="center"/>
    </xf>
    <xf numFmtId="43" fontId="0" fillId="12" borderId="2" xfId="1" applyFont="1" applyFill="1" applyBorder="1" applyAlignment="1">
      <alignment vertical="center" wrapText="1"/>
    </xf>
    <xf numFmtId="43" fontId="17" fillId="0" borderId="2" xfId="5" applyNumberFormat="1" applyFont="1" applyBorder="1" applyAlignment="1">
      <alignment vertical="center" wrapText="1"/>
    </xf>
    <xf numFmtId="43" fontId="19" fillId="12" borderId="2" xfId="1" applyFont="1" applyFill="1" applyBorder="1" applyAlignment="1">
      <alignment vertical="center"/>
    </xf>
    <xf numFmtId="14" fontId="17" fillId="13" borderId="2" xfId="5" quotePrefix="1" applyNumberFormat="1" applyFont="1" applyFill="1" applyBorder="1" applyAlignment="1">
      <alignment horizontal="center" vertical="center" wrapText="1"/>
    </xf>
    <xf numFmtId="4" fontId="73" fillId="0" borderId="2" xfId="0" applyNumberFormat="1" applyFont="1" applyBorder="1" applyAlignment="1">
      <alignment horizontal="center" vertical="center" wrapText="1"/>
    </xf>
    <xf numFmtId="0" fontId="20" fillId="0" borderId="2" xfId="5" applyFont="1" applyBorder="1" applyAlignment="1">
      <alignment horizontal="right" vertical="center" wrapText="1"/>
    </xf>
    <xf numFmtId="0" fontId="19" fillId="12" borderId="2" xfId="0" applyFont="1" applyFill="1" applyBorder="1" applyAlignment="1">
      <alignment vertical="center"/>
    </xf>
    <xf numFmtId="0" fontId="0" fillId="12" borderId="2" xfId="0" applyFill="1" applyBorder="1" applyAlignment="1">
      <alignment vertical="center"/>
    </xf>
    <xf numFmtId="0" fontId="77" fillId="12" borderId="2" xfId="0" applyFont="1" applyFill="1" applyBorder="1" applyAlignment="1">
      <alignment vertical="center"/>
    </xf>
    <xf numFmtId="0" fontId="0" fillId="12" borderId="2" xfId="0" applyFill="1" applyBorder="1" applyAlignment="1">
      <alignment vertical="center" wrapText="1"/>
    </xf>
    <xf numFmtId="14" fontId="73" fillId="13" borderId="2" xfId="5" quotePrefix="1" applyNumberFormat="1" applyFont="1" applyFill="1" applyBorder="1" applyAlignment="1">
      <alignment horizontal="center" vertical="center" wrapText="1"/>
    </xf>
    <xf numFmtId="49" fontId="73" fillId="13" borderId="2" xfId="5" applyNumberFormat="1" applyFont="1" applyFill="1" applyBorder="1" applyAlignment="1">
      <alignment horizontal="center" vertical="center" wrapText="1"/>
    </xf>
    <xf numFmtId="49" fontId="17" fillId="0" borderId="2" xfId="7" applyNumberFormat="1" applyFont="1" applyBorder="1" applyAlignment="1">
      <alignment horizontal="center" vertical="center" wrapText="1"/>
    </xf>
    <xf numFmtId="0" fontId="0" fillId="0" borderId="14" xfId="0" applyBorder="1"/>
    <xf numFmtId="4" fontId="24" fillId="0" borderId="2" xfId="7" applyNumberFormat="1" applyFont="1" applyBorder="1" applyAlignment="1">
      <alignment horizontal="left" vertical="center" wrapText="1"/>
    </xf>
    <xf numFmtId="4" fontId="24" fillId="0" borderId="2" xfId="7" applyNumberFormat="1" applyFont="1" applyBorder="1" applyAlignment="1">
      <alignment horizontal="center" vertical="center" wrapText="1"/>
    </xf>
    <xf numFmtId="0" fontId="20" fillId="12" borderId="0" xfId="7" applyFont="1" applyFill="1" applyAlignment="1">
      <alignment horizontal="left" vertical="center"/>
    </xf>
    <xf numFmtId="0" fontId="20" fillId="2" borderId="0" xfId="7" applyFont="1" applyFill="1" applyAlignment="1">
      <alignment horizontal="left" vertical="center"/>
    </xf>
    <xf numFmtId="0" fontId="20" fillId="12" borderId="2" xfId="7" applyFont="1" applyFill="1" applyBorder="1" applyAlignment="1">
      <alignment horizontal="left" vertical="center"/>
    </xf>
    <xf numFmtId="0" fontId="20" fillId="0" borderId="0" xfId="7" applyFont="1" applyAlignment="1">
      <alignment horizontal="left" vertical="center"/>
    </xf>
    <xf numFmtId="49" fontId="17" fillId="12" borderId="2" xfId="7" quotePrefix="1" applyNumberFormat="1" applyFont="1" applyFill="1" applyBorder="1" applyAlignment="1">
      <alignment horizontal="center" vertical="center" wrapText="1"/>
    </xf>
    <xf numFmtId="0" fontId="17" fillId="10" borderId="2" xfId="262" applyFont="1" applyFill="1" applyBorder="1" applyAlignment="1">
      <alignment horizontal="center" vertical="center" wrapText="1"/>
    </xf>
    <xf numFmtId="49" fontId="73" fillId="0" borderId="2" xfId="7" quotePrefix="1" applyNumberFormat="1" applyFont="1" applyBorder="1" applyAlignment="1">
      <alignment horizontal="center" vertical="center" wrapText="1"/>
    </xf>
    <xf numFmtId="49" fontId="17" fillId="0" borderId="2" xfId="7" quotePrefix="1" applyNumberFormat="1" applyFont="1" applyBorder="1" applyAlignment="1">
      <alignment horizontal="center" vertical="center" wrapText="1"/>
    </xf>
    <xf numFmtId="0" fontId="17" fillId="0" borderId="0" xfId="7" applyFont="1" applyAlignment="1">
      <alignment horizontal="left" vertical="center"/>
    </xf>
    <xf numFmtId="0" fontId="20" fillId="0" borderId="2" xfId="7" applyFont="1" applyBorder="1" applyAlignment="1">
      <alignment horizontal="left" vertical="center"/>
    </xf>
    <xf numFmtId="4" fontId="17" fillId="0" borderId="2" xfId="5" applyNumberFormat="1" applyFont="1" applyBorder="1" applyAlignment="1">
      <alignment horizontal="center" vertical="center" wrapText="1"/>
    </xf>
    <xf numFmtId="4" fontId="17" fillId="0" borderId="2" xfId="7" applyNumberFormat="1" applyFont="1" applyBorder="1" applyAlignment="1">
      <alignment horizontal="center" vertical="center" wrapText="1"/>
    </xf>
    <xf numFmtId="0" fontId="103" fillId="0" borderId="0" xfId="0" applyFont="1"/>
    <xf numFmtId="2" fontId="34" fillId="0" borderId="2" xfId="4" applyNumberFormat="1" applyFont="1" applyBorder="1" applyAlignment="1">
      <alignment horizontal="left" vertical="center" wrapText="1"/>
    </xf>
    <xf numFmtId="2" fontId="34" fillId="0" borderId="4" xfId="4" applyNumberFormat="1" applyFont="1" applyBorder="1" applyAlignment="1">
      <alignment horizontal="left" vertical="center" wrapText="1"/>
    </xf>
    <xf numFmtId="0" fontId="32" fillId="0" borderId="50" xfId="4" applyFont="1" applyBorder="1" applyAlignment="1">
      <alignment horizontal="right" vertical="center"/>
    </xf>
    <xf numFmtId="0" fontId="32" fillId="0" borderId="6" xfId="4" applyFont="1" applyBorder="1" applyAlignment="1">
      <alignment horizontal="right" vertical="center"/>
    </xf>
    <xf numFmtId="0" fontId="32" fillId="0" borderId="30" xfId="4" applyFont="1" applyBorder="1" applyAlignment="1">
      <alignment horizontal="right" vertical="center"/>
    </xf>
    <xf numFmtId="0" fontId="32" fillId="0" borderId="51" xfId="4" applyFont="1" applyBorder="1" applyAlignment="1">
      <alignment horizontal="right" vertical="center"/>
    </xf>
    <xf numFmtId="0" fontId="32" fillId="0" borderId="52" xfId="4" applyFont="1" applyBorder="1" applyAlignment="1">
      <alignment horizontal="right" vertical="center"/>
    </xf>
    <xf numFmtId="49" fontId="32" fillId="4" borderId="4" xfId="4" applyNumberFormat="1" applyFont="1" applyFill="1" applyBorder="1" applyAlignment="1">
      <alignment horizontal="center" vertical="center" wrapText="1"/>
    </xf>
    <xf numFmtId="0" fontId="32" fillId="4" borderId="6" xfId="4" applyFont="1" applyFill="1" applyBorder="1" applyAlignment="1">
      <alignment horizontal="center" vertical="center" wrapText="1"/>
    </xf>
    <xf numFmtId="49" fontId="32" fillId="4" borderId="33" xfId="4" applyNumberFormat="1" applyFont="1" applyFill="1" applyBorder="1" applyAlignment="1">
      <alignment horizontal="center" vertical="center" wrapText="1"/>
    </xf>
    <xf numFmtId="0" fontId="32" fillId="4" borderId="31" xfId="4" applyFont="1" applyFill="1" applyBorder="1" applyAlignment="1">
      <alignment horizontal="center" vertical="center" wrapText="1"/>
    </xf>
    <xf numFmtId="49" fontId="34" fillId="0" borderId="4" xfId="4" applyNumberFormat="1" applyFont="1" applyBorder="1" applyAlignment="1">
      <alignment horizontal="left" vertical="center" wrapText="1"/>
    </xf>
    <xf numFmtId="49" fontId="34" fillId="0" borderId="6" xfId="4" applyNumberFormat="1" applyFont="1" applyBorder="1" applyAlignment="1">
      <alignment horizontal="left" vertical="center" wrapText="1"/>
    </xf>
    <xf numFmtId="2" fontId="34" fillId="0" borderId="6" xfId="4" applyNumberFormat="1" applyFont="1" applyBorder="1" applyAlignment="1">
      <alignment horizontal="left" vertical="center" wrapText="1"/>
    </xf>
    <xf numFmtId="0" fontId="34" fillId="0" borderId="2" xfId="4" applyFont="1" applyBorder="1" applyAlignment="1">
      <alignment horizontal="left" vertical="center" wrapText="1"/>
    </xf>
    <xf numFmtId="0" fontId="34" fillId="0" borderId="4" xfId="4" applyFont="1" applyBorder="1" applyAlignment="1">
      <alignment horizontal="left" vertical="center" wrapText="1"/>
    </xf>
    <xf numFmtId="0" fontId="34" fillId="0" borderId="6" xfId="4" applyFont="1" applyBorder="1" applyAlignment="1">
      <alignment horizontal="left" vertical="center" wrapText="1"/>
    </xf>
    <xf numFmtId="0" fontId="34" fillId="0" borderId="53" xfId="4" applyFont="1" applyBorder="1" applyAlignment="1">
      <alignment horizontal="left" vertical="center" wrapText="1"/>
    </xf>
    <xf numFmtId="0" fontId="34" fillId="0" borderId="52" xfId="4" applyFont="1" applyBorder="1" applyAlignment="1">
      <alignment horizontal="left" vertical="center" wrapText="1"/>
    </xf>
    <xf numFmtId="0" fontId="33" fillId="9" borderId="46" xfId="4" applyFont="1" applyFill="1" applyBorder="1" applyAlignment="1">
      <alignment horizontal="center" vertical="center" wrapText="1"/>
    </xf>
    <xf numFmtId="0" fontId="33" fillId="9" borderId="47" xfId="4" applyFont="1" applyFill="1" applyBorder="1" applyAlignment="1">
      <alignment horizontal="center" vertical="center" wrapText="1"/>
    </xf>
    <xf numFmtId="0" fontId="33" fillId="9" borderId="48" xfId="4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top" wrapText="1"/>
    </xf>
    <xf numFmtId="0" fontId="32" fillId="6" borderId="8" xfId="4" applyFont="1" applyFill="1" applyBorder="1" applyAlignment="1">
      <alignment horizontal="center" vertical="center"/>
    </xf>
    <xf numFmtId="0" fontId="32" fillId="6" borderId="49" xfId="4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wrapText="1"/>
    </xf>
    <xf numFmtId="0" fontId="36" fillId="0" borderId="6" xfId="0" applyFont="1" applyBorder="1" applyAlignment="1">
      <alignment horizontal="left" vertical="center" wrapText="1"/>
    </xf>
    <xf numFmtId="7" fontId="33" fillId="0" borderId="6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35" fillId="0" borderId="6" xfId="0" applyFont="1" applyBorder="1" applyAlignment="1">
      <alignment horizontal="center" vertical="center" wrapText="1"/>
    </xf>
    <xf numFmtId="0" fontId="64" fillId="19" borderId="2" xfId="5" applyFont="1" applyFill="1" applyBorder="1" applyAlignment="1">
      <alignment horizontal="right" vertical="center" wrapText="1"/>
    </xf>
    <xf numFmtId="0" fontId="43" fillId="14" borderId="2" xfId="0" applyFont="1" applyFill="1" applyBorder="1" applyAlignment="1">
      <alignment horizontal="right" vertical="center"/>
    </xf>
    <xf numFmtId="0" fontId="64" fillId="20" borderId="2" xfId="5" applyFont="1" applyFill="1" applyBorder="1" applyAlignment="1">
      <alignment horizontal="right" vertical="center" wrapText="1"/>
    </xf>
    <xf numFmtId="164" fontId="24" fillId="11" borderId="2" xfId="5" applyNumberFormat="1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left" vertical="center" wrapText="1"/>
    </xf>
    <xf numFmtId="0" fontId="17" fillId="13" borderId="2" xfId="5" applyFont="1" applyFill="1" applyBorder="1" applyAlignment="1">
      <alignment horizontal="left" vertical="center" wrapText="1"/>
    </xf>
    <xf numFmtId="0" fontId="17" fillId="10" borderId="2" xfId="0" applyFont="1" applyFill="1" applyBorder="1" applyAlignment="1">
      <alignment vertical="center" wrapText="1"/>
    </xf>
    <xf numFmtId="2" fontId="17" fillId="13" borderId="2" xfId="0" applyNumberFormat="1" applyFont="1" applyFill="1" applyBorder="1" applyAlignment="1">
      <alignment horizontal="center" vertical="center"/>
    </xf>
    <xf numFmtId="4" fontId="17" fillId="10" borderId="2" xfId="0" applyNumberFormat="1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vertical="center"/>
    </xf>
    <xf numFmtId="0" fontId="73" fillId="13" borderId="2" xfId="5" applyFont="1" applyFill="1" applyBorder="1" applyAlignment="1">
      <alignment horizontal="left" vertical="center" wrapText="1"/>
    </xf>
    <xf numFmtId="164" fontId="24" fillId="11" borderId="2" xfId="5" quotePrefix="1" applyNumberFormat="1" applyFont="1" applyFill="1" applyBorder="1" applyAlignment="1">
      <alignment horizontal="center" vertical="center" wrapText="1"/>
    </xf>
    <xf numFmtId="4" fontId="20" fillId="11" borderId="2" xfId="0" applyNumberFormat="1" applyFont="1" applyFill="1" applyBorder="1" applyAlignment="1">
      <alignment horizontal="center" vertical="center"/>
    </xf>
    <xf numFmtId="0" fontId="65" fillId="11" borderId="2" xfId="0" applyFont="1" applyFill="1" applyBorder="1" applyAlignment="1">
      <alignment horizontal="center" vertical="center" wrapText="1"/>
    </xf>
    <xf numFmtId="0" fontId="66" fillId="11" borderId="2" xfId="0" applyFont="1" applyFill="1" applyBorder="1" applyAlignment="1">
      <alignment horizontal="center" vertical="center"/>
    </xf>
    <xf numFmtId="0" fontId="17" fillId="14" borderId="2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2" fillId="0" borderId="2" xfId="4" applyFont="1" applyBorder="1" applyAlignment="1">
      <alignment horizontal="right" vertical="center"/>
    </xf>
    <xf numFmtId="0" fontId="33" fillId="9" borderId="2" xfId="4" applyFont="1" applyFill="1" applyBorder="1" applyAlignment="1">
      <alignment horizontal="center" vertical="center" wrapText="1"/>
    </xf>
    <xf numFmtId="0" fontId="98" fillId="0" borderId="0" xfId="86" applyFont="1" applyAlignment="1">
      <alignment horizontal="center"/>
    </xf>
    <xf numFmtId="0" fontId="17" fillId="0" borderId="2" xfId="5" applyFont="1" applyBorder="1" applyAlignment="1">
      <alignment horizontal="center" vertical="center" wrapText="1"/>
    </xf>
    <xf numFmtId="164" fontId="17" fillId="0" borderId="2" xfId="5" applyNumberFormat="1" applyFont="1" applyBorder="1" applyAlignment="1">
      <alignment horizontal="center" vertical="center" wrapText="1"/>
    </xf>
    <xf numFmtId="4" fontId="20" fillId="0" borderId="2" xfId="5" applyNumberFormat="1" applyFont="1" applyBorder="1" applyAlignment="1">
      <alignment horizontal="left" vertical="center" wrapText="1"/>
    </xf>
    <xf numFmtId="0" fontId="20" fillId="0" borderId="2" xfId="5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/>
    </xf>
    <xf numFmtId="0" fontId="24" fillId="14" borderId="2" xfId="0" applyFont="1" applyFill="1" applyBorder="1" applyAlignment="1">
      <alignment horizontal="center" vertical="center" wrapText="1"/>
    </xf>
    <xf numFmtId="164" fontId="24" fillId="11" borderId="2" xfId="5" applyNumberFormat="1" applyFont="1" applyFill="1" applyBorder="1" applyAlignment="1">
      <alignment horizontal="left" vertical="center" wrapText="1"/>
    </xf>
    <xf numFmtId="0" fontId="17" fillId="0" borderId="2" xfId="5" applyFont="1" applyBorder="1" applyAlignment="1">
      <alignment horizontal="left" vertical="center" wrapText="1"/>
    </xf>
    <xf numFmtId="49" fontId="20" fillId="0" borderId="2" xfId="5" quotePrefix="1" applyNumberFormat="1" applyFont="1" applyBorder="1" applyAlignment="1">
      <alignment horizontal="center" vertical="center" wrapText="1"/>
    </xf>
    <xf numFmtId="0" fontId="20" fillId="0" borderId="2" xfId="5" applyFont="1" applyBorder="1" applyAlignment="1">
      <alignment horizontal="left" vertical="center" wrapText="1"/>
    </xf>
    <xf numFmtId="4" fontId="20" fillId="0" borderId="2" xfId="5" applyNumberFormat="1" applyFont="1" applyBorder="1" applyAlignment="1">
      <alignment horizontal="center" vertical="center"/>
    </xf>
    <xf numFmtId="49" fontId="17" fillId="0" borderId="2" xfId="5" quotePrefix="1" applyNumberFormat="1" applyFont="1" applyBorder="1" applyAlignment="1">
      <alignment horizontal="center" vertical="center" wrapText="1"/>
    </xf>
    <xf numFmtId="4" fontId="17" fillId="0" borderId="2" xfId="5" applyNumberFormat="1" applyFont="1" applyBorder="1" applyAlignment="1">
      <alignment horizontal="center" vertical="center"/>
    </xf>
    <xf numFmtId="0" fontId="17" fillId="0" borderId="2" xfId="5" quotePrefix="1" applyFont="1" applyBorder="1" applyAlignment="1">
      <alignment horizontal="left" vertical="center" wrapText="1"/>
    </xf>
    <xf numFmtId="0" fontId="17" fillId="0" borderId="2" xfId="7" quotePrefix="1" applyFont="1" applyBorder="1" applyAlignment="1">
      <alignment horizontal="left" vertical="center" wrapText="1"/>
    </xf>
    <xf numFmtId="0" fontId="17" fillId="10" borderId="2" xfId="26" applyFont="1" applyFill="1" applyBorder="1" applyAlignment="1">
      <alignment horizontal="left" vertical="center" wrapText="1"/>
    </xf>
    <xf numFmtId="0" fontId="73" fillId="0" borderId="2" xfId="6" applyFont="1" applyBorder="1" applyAlignment="1">
      <alignment horizontal="left" vertical="center" wrapText="1"/>
    </xf>
    <xf numFmtId="0" fontId="20" fillId="0" borderId="2" xfId="6" applyFont="1" applyBorder="1" applyAlignment="1">
      <alignment horizontal="center" vertical="center" wrapText="1"/>
    </xf>
    <xf numFmtId="49" fontId="72" fillId="0" borderId="2" xfId="6" quotePrefix="1" applyNumberFormat="1" applyFont="1" applyBorder="1" applyAlignment="1">
      <alignment horizontal="center" vertical="center" wrapText="1"/>
    </xf>
    <xf numFmtId="0" fontId="72" fillId="0" borderId="2" xfId="6" applyFont="1" applyBorder="1" applyAlignment="1">
      <alignment horizontal="left" vertical="center" wrapText="1"/>
    </xf>
    <xf numFmtId="0" fontId="72" fillId="0" borderId="2" xfId="6" applyFont="1" applyBorder="1" applyAlignment="1">
      <alignment horizontal="center" vertical="center" wrapText="1"/>
    </xf>
    <xf numFmtId="4" fontId="72" fillId="0" borderId="2" xfId="6" applyNumberFormat="1" applyFont="1" applyBorder="1" applyAlignment="1">
      <alignment horizontal="center" vertical="center"/>
    </xf>
    <xf numFmtId="49" fontId="72" fillId="12" borderId="2" xfId="6" quotePrefix="1" applyNumberFormat="1" applyFont="1" applyFill="1" applyBorder="1" applyAlignment="1">
      <alignment horizontal="center" vertical="center" wrapText="1"/>
    </xf>
    <xf numFmtId="0" fontId="17" fillId="0" borderId="2" xfId="6" applyFont="1" applyBorder="1" applyAlignment="1">
      <alignment horizontal="left" vertical="center" wrapText="1"/>
    </xf>
    <xf numFmtId="0" fontId="17" fillId="0" borderId="2" xfId="6" applyFont="1" applyBorder="1" applyAlignment="1">
      <alignment horizontal="center" vertical="center" wrapText="1"/>
    </xf>
    <xf numFmtId="49" fontId="17" fillId="0" borderId="2" xfId="6" quotePrefix="1" applyNumberFormat="1" applyFont="1" applyBorder="1" applyAlignment="1">
      <alignment horizontal="center" vertical="center" wrapText="1"/>
    </xf>
    <xf numFmtId="0" fontId="20" fillId="0" borderId="2" xfId="6" applyFont="1" applyBorder="1" applyAlignment="1">
      <alignment horizontal="left" vertical="center" wrapText="1"/>
    </xf>
    <xf numFmtId="4" fontId="20" fillId="0" borderId="2" xfId="6" applyNumberFormat="1" applyFont="1" applyBorder="1" applyAlignment="1">
      <alignment horizontal="center" vertical="center"/>
    </xf>
    <xf numFmtId="0" fontId="102" fillId="0" borderId="2" xfId="5" applyFont="1" applyBorder="1" applyAlignment="1">
      <alignment horizontal="right" vertical="center" wrapText="1"/>
    </xf>
    <xf numFmtId="0" fontId="20" fillId="0" borderId="0" xfId="5" applyFont="1" applyAlignment="1">
      <alignment horizontal="left" vertical="center" wrapText="1"/>
    </xf>
    <xf numFmtId="0" fontId="93" fillId="0" borderId="2" xfId="5" applyFont="1" applyBorder="1" applyAlignment="1">
      <alignment horizontal="left" vertical="center" wrapText="1"/>
    </xf>
    <xf numFmtId="0" fontId="73" fillId="0" borderId="2" xfId="5" applyFont="1" applyBorder="1" applyAlignment="1">
      <alignment horizontal="center" vertical="center" wrapText="1"/>
    </xf>
    <xf numFmtId="49" fontId="72" fillId="0" borderId="2" xfId="5" quotePrefix="1" applyNumberFormat="1" applyFont="1" applyBorder="1" applyAlignment="1">
      <alignment horizontal="center" vertical="center" wrapText="1"/>
    </xf>
    <xf numFmtId="0" fontId="72" fillId="0" borderId="2" xfId="5" applyFont="1" applyBorder="1" applyAlignment="1">
      <alignment horizontal="left" vertical="center" wrapText="1"/>
    </xf>
    <xf numFmtId="0" fontId="72" fillId="0" borderId="2" xfId="5" applyFont="1" applyBorder="1" applyAlignment="1">
      <alignment horizontal="center" vertical="center" wrapText="1"/>
    </xf>
    <xf numFmtId="4" fontId="72" fillId="0" borderId="2" xfId="5" applyNumberFormat="1" applyFont="1" applyBorder="1" applyAlignment="1">
      <alignment horizontal="center" vertical="center"/>
    </xf>
    <xf numFmtId="0" fontId="93" fillId="0" borderId="4" xfId="5" applyFont="1" applyBorder="1" applyAlignment="1">
      <alignment horizontal="left" vertical="center" wrapText="1"/>
    </xf>
    <xf numFmtId="0" fontId="93" fillId="0" borderId="6" xfId="5" applyFont="1" applyBorder="1" applyAlignment="1">
      <alignment horizontal="left" vertical="center" wrapText="1"/>
    </xf>
    <xf numFmtId="0" fontId="93" fillId="0" borderId="5" xfId="5" applyFont="1" applyBorder="1" applyAlignment="1">
      <alignment horizontal="left" vertical="center" wrapText="1"/>
    </xf>
    <xf numFmtId="0" fontId="17" fillId="0" borderId="4" xfId="6" applyFont="1" applyBorder="1" applyAlignment="1">
      <alignment horizontal="left" vertical="center" wrapText="1"/>
    </xf>
    <xf numFmtId="0" fontId="17" fillId="0" borderId="6" xfId="6" applyFont="1" applyBorder="1" applyAlignment="1">
      <alignment horizontal="left" vertical="center" wrapText="1"/>
    </xf>
    <xf numFmtId="0" fontId="17" fillId="0" borderId="5" xfId="6" applyFont="1" applyBorder="1" applyAlignment="1">
      <alignment horizontal="left" vertical="center" wrapText="1"/>
    </xf>
    <xf numFmtId="0" fontId="17" fillId="10" borderId="4" xfId="0" applyFont="1" applyFill="1" applyBorder="1" applyAlignment="1">
      <alignment vertical="center" wrapText="1"/>
    </xf>
    <xf numFmtId="0" fontId="17" fillId="10" borderId="6" xfId="0" applyFont="1" applyFill="1" applyBorder="1" applyAlignment="1">
      <alignment vertical="center" wrapText="1"/>
    </xf>
    <xf numFmtId="0" fontId="17" fillId="10" borderId="5" xfId="0" applyFont="1" applyFill="1" applyBorder="1" applyAlignment="1">
      <alignment vertical="center" wrapText="1"/>
    </xf>
    <xf numFmtId="0" fontId="17" fillId="13" borderId="4" xfId="5" applyFont="1" applyFill="1" applyBorder="1" applyAlignment="1">
      <alignment horizontal="left" vertical="center" wrapText="1"/>
    </xf>
    <xf numFmtId="0" fontId="17" fillId="13" borderId="6" xfId="5" applyFont="1" applyFill="1" applyBorder="1" applyAlignment="1">
      <alignment horizontal="left" vertical="center" wrapText="1"/>
    </xf>
    <xf numFmtId="0" fontId="17" fillId="13" borderId="5" xfId="5" applyFont="1" applyFill="1" applyBorder="1" applyAlignment="1">
      <alignment horizontal="left" vertical="center" wrapText="1"/>
    </xf>
    <xf numFmtId="0" fontId="17" fillId="0" borderId="4" xfId="7" applyFont="1" applyBorder="1" applyAlignment="1">
      <alignment horizontal="left" vertical="center" wrapText="1"/>
    </xf>
    <xf numFmtId="0" fontId="17" fillId="0" borderId="6" xfId="7" applyFont="1" applyBorder="1" applyAlignment="1">
      <alignment horizontal="left" vertical="center" wrapText="1"/>
    </xf>
    <xf numFmtId="0" fontId="17" fillId="0" borderId="5" xfId="7" applyFont="1" applyBorder="1" applyAlignment="1">
      <alignment horizontal="left" vertical="center" wrapText="1"/>
    </xf>
    <xf numFmtId="0" fontId="17" fillId="0" borderId="2" xfId="7" applyFont="1" applyBorder="1" applyAlignment="1">
      <alignment horizontal="left" vertical="center" wrapText="1"/>
    </xf>
    <xf numFmtId="0" fontId="17" fillId="0" borderId="2" xfId="186" applyFont="1" applyBorder="1" applyAlignment="1">
      <alignment horizontal="left" vertical="center" wrapText="1"/>
    </xf>
    <xf numFmtId="49" fontId="73" fillId="0" borderId="2" xfId="6" applyNumberFormat="1" applyFont="1" applyBorder="1" applyAlignment="1">
      <alignment horizontal="center" vertical="center" wrapText="1"/>
    </xf>
    <xf numFmtId="0" fontId="73" fillId="0" borderId="2" xfId="7" quotePrefix="1" applyFont="1" applyBorder="1" applyAlignment="1">
      <alignment horizontal="left" vertical="center" wrapText="1"/>
    </xf>
    <xf numFmtId="0" fontId="73" fillId="0" borderId="2" xfId="7" applyFont="1" applyBorder="1" applyAlignment="1">
      <alignment horizontal="center" vertical="center" wrapText="1"/>
    </xf>
    <xf numFmtId="166" fontId="73" fillId="0" borderId="2" xfId="7" quotePrefix="1" applyNumberFormat="1" applyFont="1" applyBorder="1" applyAlignment="1">
      <alignment horizontal="center" vertical="center" wrapText="1"/>
    </xf>
    <xf numFmtId="0" fontId="72" fillId="0" borderId="2" xfId="7" applyFont="1" applyBorder="1" applyAlignment="1">
      <alignment horizontal="left" vertical="center" wrapText="1"/>
    </xf>
    <xf numFmtId="4" fontId="73" fillId="0" borderId="2" xfId="6" applyNumberFormat="1" applyFont="1" applyBorder="1" applyAlignment="1">
      <alignment horizontal="center" vertical="center"/>
    </xf>
    <xf numFmtId="4" fontId="17" fillId="0" borderId="2" xfId="6" applyNumberFormat="1" applyFont="1" applyBorder="1" applyAlignment="1">
      <alignment horizontal="center" vertical="center"/>
    </xf>
    <xf numFmtId="49" fontId="20" fillId="12" borderId="2" xfId="6" quotePrefix="1" applyNumberFormat="1" applyFont="1" applyFill="1" applyBorder="1" applyAlignment="1">
      <alignment horizontal="center" vertical="center" wrapText="1"/>
    </xf>
    <xf numFmtId="0" fontId="17" fillId="12" borderId="2" xfId="7" applyFont="1" applyFill="1" applyBorder="1" applyAlignment="1">
      <alignment horizontal="center" vertical="center" wrapText="1"/>
    </xf>
    <xf numFmtId="166" fontId="17" fillId="0" borderId="2" xfId="7" quotePrefix="1" applyNumberFormat="1" applyFont="1" applyBorder="1" applyAlignment="1">
      <alignment horizontal="center" vertical="center" wrapText="1"/>
    </xf>
    <xf numFmtId="0" fontId="20" fillId="0" borderId="2" xfId="7" applyFont="1" applyBorder="1" applyAlignment="1">
      <alignment horizontal="left" vertical="center" wrapText="1"/>
    </xf>
    <xf numFmtId="49" fontId="20" fillId="0" borderId="2" xfId="6" quotePrefix="1" applyNumberFormat="1" applyFont="1" applyBorder="1" applyAlignment="1">
      <alignment horizontal="center" vertical="center" wrapText="1"/>
    </xf>
    <xf numFmtId="0" fontId="73" fillId="0" borderId="2" xfId="7" applyFont="1" applyBorder="1" applyAlignment="1">
      <alignment horizontal="left" vertical="center" wrapText="1"/>
    </xf>
    <xf numFmtId="166" fontId="73" fillId="0" borderId="2" xfId="7" applyNumberFormat="1" applyFont="1" applyBorder="1" applyAlignment="1">
      <alignment horizontal="center" vertical="center" wrapText="1"/>
    </xf>
    <xf numFmtId="4" fontId="20" fillId="0" borderId="2" xfId="7" applyNumberFormat="1" applyFont="1" applyBorder="1" applyAlignment="1">
      <alignment horizontal="center" vertical="center"/>
    </xf>
    <xf numFmtId="0" fontId="17" fillId="10" borderId="2" xfId="262" applyFont="1" applyFill="1" applyBorder="1" applyAlignment="1">
      <alignment horizontal="left" vertical="center" wrapText="1"/>
    </xf>
    <xf numFmtId="0" fontId="20" fillId="0" borderId="2" xfId="7" applyFont="1" applyBorder="1" applyAlignment="1">
      <alignment horizontal="center" vertical="center" wrapText="1"/>
    </xf>
    <xf numFmtId="49" fontId="72" fillId="0" borderId="2" xfId="7" quotePrefix="1" applyNumberFormat="1" applyFont="1" applyBorder="1" applyAlignment="1">
      <alignment horizontal="center" vertical="center" wrapText="1"/>
    </xf>
    <xf numFmtId="0" fontId="72" fillId="0" borderId="2" xfId="7" applyFont="1" applyBorder="1" applyAlignment="1">
      <alignment horizontal="center" vertical="center" wrapText="1"/>
    </xf>
    <xf numFmtId="4" fontId="72" fillId="0" borderId="2" xfId="7" applyNumberFormat="1" applyFont="1" applyBorder="1" applyAlignment="1">
      <alignment horizontal="center" vertical="center"/>
    </xf>
    <xf numFmtId="49" fontId="72" fillId="12" borderId="2" xfId="7" quotePrefix="1" applyNumberFormat="1" applyFont="1" applyFill="1" applyBorder="1" applyAlignment="1">
      <alignment horizontal="center" vertical="center" wrapText="1"/>
    </xf>
    <xf numFmtId="0" fontId="17" fillId="0" borderId="2" xfId="7" applyFont="1" applyBorder="1" applyAlignment="1">
      <alignment horizontal="center" vertical="center" wrapText="1"/>
    </xf>
    <xf numFmtId="49" fontId="17" fillId="0" borderId="2" xfId="7" quotePrefix="1" applyNumberFormat="1" applyFont="1" applyBorder="1" applyAlignment="1">
      <alignment horizontal="center" vertical="center" wrapText="1"/>
    </xf>
    <xf numFmtId="4" fontId="20" fillId="0" borderId="22" xfId="7" applyNumberFormat="1" applyFont="1" applyBorder="1" applyAlignment="1">
      <alignment horizontal="center" vertical="center"/>
    </xf>
    <xf numFmtId="4" fontId="20" fillId="0" borderId="14" xfId="7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7" fillId="0" borderId="4" xfId="5" applyNumberFormat="1" applyFont="1" applyBorder="1" applyAlignment="1">
      <alignment horizontal="left" vertical="center" wrapText="1"/>
    </xf>
    <xf numFmtId="4" fontId="17" fillId="0" borderId="6" xfId="5" applyNumberFormat="1" applyFont="1" applyBorder="1" applyAlignment="1">
      <alignment horizontal="left" vertical="center" wrapText="1"/>
    </xf>
    <xf numFmtId="4" fontId="17" fillId="0" borderId="5" xfId="5" applyNumberFormat="1" applyFont="1" applyBorder="1" applyAlignment="1">
      <alignment horizontal="left" vertical="center" wrapText="1"/>
    </xf>
    <xf numFmtId="0" fontId="64" fillId="19" borderId="4" xfId="5" applyFont="1" applyFill="1" applyBorder="1" applyAlignment="1">
      <alignment horizontal="right" vertical="center" wrapText="1"/>
    </xf>
    <xf numFmtId="0" fontId="64" fillId="19" borderId="6" xfId="5" applyFont="1" applyFill="1" applyBorder="1" applyAlignment="1">
      <alignment horizontal="right" vertical="center" wrapText="1"/>
    </xf>
    <xf numFmtId="0" fontId="64" fillId="19" borderId="5" xfId="5" applyFont="1" applyFill="1" applyBorder="1" applyAlignment="1">
      <alignment horizontal="right" vertical="center" wrapText="1"/>
    </xf>
    <xf numFmtId="0" fontId="64" fillId="20" borderId="4" xfId="5" applyFont="1" applyFill="1" applyBorder="1" applyAlignment="1">
      <alignment horizontal="center" vertical="center" wrapText="1"/>
    </xf>
    <xf numFmtId="0" fontId="64" fillId="20" borderId="6" xfId="5" applyFont="1" applyFill="1" applyBorder="1" applyAlignment="1">
      <alignment horizontal="center" vertical="center" wrapText="1"/>
    </xf>
    <xf numFmtId="0" fontId="64" fillId="20" borderId="5" xfId="5" applyFont="1" applyFill="1" applyBorder="1" applyAlignment="1">
      <alignment horizontal="center" vertical="center" wrapText="1"/>
    </xf>
    <xf numFmtId="0" fontId="17" fillId="0" borderId="4" xfId="5" applyFont="1" applyBorder="1" applyAlignment="1">
      <alignment horizontal="left" vertical="center" wrapText="1"/>
    </xf>
    <xf numFmtId="0" fontId="17" fillId="0" borderId="6" xfId="5" applyFont="1" applyBorder="1" applyAlignment="1">
      <alignment horizontal="left" vertical="center" wrapText="1"/>
    </xf>
    <xf numFmtId="0" fontId="17" fillId="0" borderId="5" xfId="5" applyFont="1" applyBorder="1" applyAlignment="1">
      <alignment horizontal="left" vertical="center" wrapText="1"/>
    </xf>
    <xf numFmtId="0" fontId="17" fillId="0" borderId="22" xfId="5" applyFont="1" applyBorder="1" applyAlignment="1">
      <alignment horizontal="center" vertical="center" wrapText="1"/>
    </xf>
    <xf numFmtId="0" fontId="17" fillId="0" borderId="14" xfId="5" applyFont="1" applyBorder="1" applyAlignment="1">
      <alignment horizontal="center" vertical="center" wrapText="1"/>
    </xf>
    <xf numFmtId="49" fontId="20" fillId="0" borderId="22" xfId="5" quotePrefix="1" applyNumberFormat="1" applyFont="1" applyBorder="1" applyAlignment="1">
      <alignment horizontal="center" vertical="center" wrapText="1"/>
    </xf>
    <xf numFmtId="49" fontId="20" fillId="0" borderId="14" xfId="5" quotePrefix="1" applyNumberFormat="1" applyFont="1" applyBorder="1" applyAlignment="1">
      <alignment horizontal="center" vertical="center" wrapText="1"/>
    </xf>
    <xf numFmtId="0" fontId="20" fillId="0" borderId="43" xfId="5" applyFont="1" applyBorder="1" applyAlignment="1">
      <alignment horizontal="left" vertical="center" wrapText="1"/>
    </xf>
    <xf numFmtId="0" fontId="20" fillId="0" borderId="29" xfId="5" applyFont="1" applyBorder="1" applyAlignment="1">
      <alignment horizontal="left" vertical="center" wrapText="1"/>
    </xf>
    <xf numFmtId="0" fontId="20" fillId="0" borderId="58" xfId="5" applyFont="1" applyBorder="1" applyAlignment="1">
      <alignment horizontal="left" vertical="center" wrapText="1"/>
    </xf>
    <xf numFmtId="0" fontId="20" fillId="0" borderId="22" xfId="5" applyFont="1" applyBorder="1" applyAlignment="1">
      <alignment horizontal="center" vertical="center" wrapText="1"/>
    </xf>
    <xf numFmtId="0" fontId="20" fillId="0" borderId="14" xfId="5" applyFont="1" applyBorder="1" applyAlignment="1">
      <alignment horizontal="center" vertical="center" wrapText="1"/>
    </xf>
    <xf numFmtId="4" fontId="20" fillId="0" borderId="22" xfId="5" applyNumberFormat="1" applyFont="1" applyBorder="1" applyAlignment="1">
      <alignment horizontal="center" vertical="center"/>
    </xf>
    <xf numFmtId="4" fontId="20" fillId="0" borderId="14" xfId="5" applyNumberFormat="1" applyFont="1" applyBorder="1" applyAlignment="1">
      <alignment horizontal="center" vertical="center"/>
    </xf>
    <xf numFmtId="4" fontId="20" fillId="0" borderId="22" xfId="0" applyNumberFormat="1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3" fontId="17" fillId="0" borderId="22" xfId="1" applyFont="1" applyBorder="1" applyAlignment="1">
      <alignment horizontal="center" vertical="center"/>
    </xf>
    <xf numFmtId="43" fontId="17" fillId="0" borderId="14" xfId="1" applyFont="1" applyBorder="1" applyAlignment="1">
      <alignment horizontal="center" vertical="center"/>
    </xf>
    <xf numFmtId="43" fontId="20" fillId="0" borderId="22" xfId="1" applyFont="1" applyFill="1" applyBorder="1" applyAlignment="1">
      <alignment horizontal="center" vertical="center"/>
    </xf>
    <xf numFmtId="43" fontId="20" fillId="0" borderId="14" xfId="1" applyFont="1" applyFill="1" applyBorder="1" applyAlignment="1">
      <alignment horizontal="center" vertical="center"/>
    </xf>
    <xf numFmtId="164" fontId="17" fillId="0" borderId="22" xfId="5" applyNumberFormat="1" applyFont="1" applyBorder="1" applyAlignment="1">
      <alignment horizontal="center" vertical="center" wrapText="1"/>
    </xf>
    <xf numFmtId="164" fontId="17" fillId="0" borderId="14" xfId="5" applyNumberFormat="1" applyFont="1" applyBorder="1" applyAlignment="1">
      <alignment horizontal="center" vertical="center" wrapText="1"/>
    </xf>
    <xf numFmtId="4" fontId="20" fillId="0" borderId="43" xfId="5" applyNumberFormat="1" applyFont="1" applyBorder="1" applyAlignment="1">
      <alignment horizontal="left" vertical="center" wrapText="1"/>
    </xf>
    <xf numFmtId="4" fontId="20" fillId="0" borderId="29" xfId="5" applyNumberFormat="1" applyFont="1" applyBorder="1" applyAlignment="1">
      <alignment horizontal="left" vertical="center" wrapText="1"/>
    </xf>
    <xf numFmtId="4" fontId="20" fillId="0" borderId="58" xfId="5" applyNumberFormat="1" applyFont="1" applyBorder="1" applyAlignment="1">
      <alignment horizontal="left" vertical="center" wrapText="1"/>
    </xf>
    <xf numFmtId="0" fontId="65" fillId="11" borderId="4" xfId="0" applyFont="1" applyFill="1" applyBorder="1" applyAlignment="1">
      <alignment horizontal="center" vertical="center" wrapText="1"/>
    </xf>
    <xf numFmtId="0" fontId="65" fillId="11" borderId="6" xfId="0" applyFont="1" applyFill="1" applyBorder="1" applyAlignment="1">
      <alignment horizontal="center" vertical="center" wrapText="1"/>
    </xf>
    <xf numFmtId="0" fontId="65" fillId="11" borderId="5" xfId="0" applyFont="1" applyFill="1" applyBorder="1" applyAlignment="1">
      <alignment horizontal="center" vertical="center" wrapText="1"/>
    </xf>
    <xf numFmtId="0" fontId="17" fillId="14" borderId="4" xfId="0" applyFont="1" applyFill="1" applyBorder="1" applyAlignment="1">
      <alignment horizontal="center" vertical="center" wrapText="1"/>
    </xf>
    <xf numFmtId="0" fontId="17" fillId="14" borderId="6" xfId="0" applyFont="1" applyFill="1" applyBorder="1" applyAlignment="1">
      <alignment horizontal="center" vertical="center" wrapText="1"/>
    </xf>
    <xf numFmtId="0" fontId="17" fillId="14" borderId="5" xfId="0" applyFont="1" applyFill="1" applyBorder="1" applyAlignment="1">
      <alignment horizontal="center" vertical="center" wrapText="1"/>
    </xf>
    <xf numFmtId="0" fontId="17" fillId="0" borderId="4" xfId="5" applyFont="1" applyBorder="1" applyAlignment="1">
      <alignment horizontal="center" vertical="center" wrapText="1"/>
    </xf>
    <xf numFmtId="0" fontId="17" fillId="0" borderId="6" xfId="5" applyFont="1" applyBorder="1" applyAlignment="1">
      <alignment horizontal="center" vertical="center" wrapText="1"/>
    </xf>
    <xf numFmtId="0" fontId="17" fillId="0" borderId="5" xfId="5" applyFont="1" applyBorder="1" applyAlignment="1">
      <alignment horizontal="center" vertical="center" wrapText="1"/>
    </xf>
    <xf numFmtId="164" fontId="24" fillId="11" borderId="4" xfId="5" applyNumberFormat="1" applyFont="1" applyFill="1" applyBorder="1" applyAlignment="1">
      <alignment horizontal="center" vertical="center" wrapText="1"/>
    </xf>
    <xf numFmtId="164" fontId="24" fillId="11" borderId="6" xfId="5" applyNumberFormat="1" applyFont="1" applyFill="1" applyBorder="1" applyAlignment="1">
      <alignment horizontal="center" vertical="center" wrapText="1"/>
    </xf>
    <xf numFmtId="164" fontId="24" fillId="11" borderId="5" xfId="5" applyNumberFormat="1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left" vertical="center" wrapText="1"/>
    </xf>
    <xf numFmtId="0" fontId="17" fillId="10" borderId="6" xfId="0" applyFont="1" applyFill="1" applyBorder="1" applyAlignment="1">
      <alignment horizontal="left" vertical="center" wrapText="1"/>
    </xf>
    <xf numFmtId="0" fontId="17" fillId="10" borderId="5" xfId="0" applyFont="1" applyFill="1" applyBorder="1" applyAlignment="1">
      <alignment horizontal="left" vertical="center" wrapText="1"/>
    </xf>
    <xf numFmtId="0" fontId="20" fillId="13" borderId="4" xfId="0" applyFont="1" applyFill="1" applyBorder="1" applyAlignment="1">
      <alignment vertical="center"/>
    </xf>
    <xf numFmtId="4" fontId="20" fillId="0" borderId="43" xfId="0" applyNumberFormat="1" applyFont="1" applyBorder="1" applyAlignment="1">
      <alignment horizontal="center" vertical="center"/>
    </xf>
    <xf numFmtId="4" fontId="20" fillId="0" borderId="33" xfId="0" applyNumberFormat="1" applyFont="1" applyBorder="1" applyAlignment="1">
      <alignment horizontal="center" vertical="center"/>
    </xf>
    <xf numFmtId="0" fontId="73" fillId="0" borderId="22" xfId="5" applyFont="1" applyBorder="1" applyAlignment="1">
      <alignment horizontal="center" vertical="center" wrapText="1"/>
    </xf>
    <xf numFmtId="0" fontId="73" fillId="0" borderId="14" xfId="5" applyFont="1" applyBorder="1" applyAlignment="1">
      <alignment horizontal="center" vertical="center" wrapText="1"/>
    </xf>
    <xf numFmtId="49" fontId="72" fillId="0" borderId="22" xfId="5" quotePrefix="1" applyNumberFormat="1" applyFont="1" applyBorder="1" applyAlignment="1">
      <alignment horizontal="center" vertical="center" wrapText="1"/>
    </xf>
    <xf numFmtId="49" fontId="72" fillId="0" borderId="14" xfId="5" quotePrefix="1" applyNumberFormat="1" applyFont="1" applyBorder="1" applyAlignment="1">
      <alignment horizontal="center" vertical="center" wrapText="1"/>
    </xf>
    <xf numFmtId="0" fontId="17" fillId="0" borderId="4" xfId="5" quotePrefix="1" applyFont="1" applyBorder="1" applyAlignment="1">
      <alignment horizontal="left" vertical="center" wrapText="1"/>
    </xf>
    <xf numFmtId="0" fontId="17" fillId="0" borderId="6" xfId="5" quotePrefix="1" applyFont="1" applyBorder="1" applyAlignment="1">
      <alignment horizontal="left" vertical="center" wrapText="1"/>
    </xf>
    <xf numFmtId="0" fontId="17" fillId="0" borderId="5" xfId="5" quotePrefix="1" applyFont="1" applyBorder="1" applyAlignment="1">
      <alignment horizontal="left" vertical="center" wrapText="1"/>
    </xf>
    <xf numFmtId="49" fontId="17" fillId="0" borderId="22" xfId="5" quotePrefix="1" applyNumberFormat="1" applyFont="1" applyBorder="1" applyAlignment="1">
      <alignment horizontal="center" vertical="center" wrapText="1"/>
    </xf>
    <xf numFmtId="49" fontId="17" fillId="0" borderId="14" xfId="5" quotePrefix="1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4" fontId="17" fillId="0" borderId="22" xfId="5" applyNumberFormat="1" applyFont="1" applyBorder="1" applyAlignment="1">
      <alignment horizontal="center" vertical="center"/>
    </xf>
    <xf numFmtId="4" fontId="17" fillId="0" borderId="14" xfId="5" applyNumberFormat="1" applyFont="1" applyBorder="1" applyAlignment="1">
      <alignment horizontal="center" vertical="center"/>
    </xf>
    <xf numFmtId="43" fontId="17" fillId="0" borderId="22" xfId="1" applyFont="1" applyFill="1" applyBorder="1" applyAlignment="1">
      <alignment horizontal="center" vertical="center"/>
    </xf>
    <xf numFmtId="43" fontId="17" fillId="0" borderId="14" xfId="1" applyFont="1" applyFill="1" applyBorder="1" applyAlignment="1">
      <alignment horizontal="center" vertical="center"/>
    </xf>
    <xf numFmtId="0" fontId="20" fillId="0" borderId="41" xfId="5" applyFont="1" applyBorder="1" applyAlignment="1">
      <alignment horizontal="center" vertical="center" wrapText="1"/>
    </xf>
    <xf numFmtId="4" fontId="20" fillId="0" borderId="4" xfId="5" applyNumberFormat="1" applyFont="1" applyBorder="1" applyAlignment="1">
      <alignment horizontal="left" vertical="center" wrapText="1"/>
    </xf>
    <xf numFmtId="4" fontId="20" fillId="0" borderId="6" xfId="5" applyNumberFormat="1" applyFont="1" applyBorder="1" applyAlignment="1">
      <alignment horizontal="left" vertical="center" wrapText="1"/>
    </xf>
    <xf numFmtId="4" fontId="20" fillId="0" borderId="5" xfId="5" applyNumberFormat="1" applyFont="1" applyBorder="1" applyAlignment="1">
      <alignment horizontal="left" vertical="center" wrapText="1"/>
    </xf>
    <xf numFmtId="4" fontId="20" fillId="0" borderId="43" xfId="5" applyNumberFormat="1" applyFont="1" applyBorder="1" applyAlignment="1">
      <alignment horizontal="center" vertical="center"/>
    </xf>
    <xf numFmtId="4" fontId="20" fillId="0" borderId="33" xfId="5" applyNumberFormat="1" applyFont="1" applyBorder="1" applyAlignment="1">
      <alignment horizontal="center" vertical="center"/>
    </xf>
    <xf numFmtId="0" fontId="20" fillId="0" borderId="4" xfId="5" applyFont="1" applyBorder="1" applyAlignment="1">
      <alignment horizontal="left" vertical="center" wrapText="1"/>
    </xf>
    <xf numFmtId="0" fontId="20" fillId="0" borderId="6" xfId="5" applyFont="1" applyBorder="1" applyAlignment="1">
      <alignment horizontal="left" vertical="center" wrapText="1"/>
    </xf>
    <xf numFmtId="0" fontId="20" fillId="0" borderId="5" xfId="5" applyFont="1" applyBorder="1" applyAlignment="1">
      <alignment horizontal="left" vertical="center" wrapText="1"/>
    </xf>
    <xf numFmtId="0" fontId="17" fillId="0" borderId="41" xfId="5" applyFont="1" applyBorder="1" applyAlignment="1">
      <alignment horizontal="center" vertical="center" wrapText="1"/>
    </xf>
    <xf numFmtId="0" fontId="20" fillId="0" borderId="22" xfId="5" applyFont="1" applyBorder="1" applyAlignment="1">
      <alignment horizontal="left" vertical="center" wrapText="1"/>
    </xf>
    <xf numFmtId="0" fontId="72" fillId="0" borderId="22" xfId="26" applyFont="1" applyBorder="1" applyAlignment="1">
      <alignment horizontal="center" vertical="center" wrapText="1"/>
    </xf>
    <xf numFmtId="0" fontId="72" fillId="0" borderId="14" xfId="26" applyFont="1" applyBorder="1" applyAlignment="1">
      <alignment horizontal="center" vertical="center" wrapText="1"/>
    </xf>
    <xf numFmtId="164" fontId="72" fillId="0" borderId="22" xfId="26" applyNumberFormat="1" applyFont="1" applyBorder="1" applyAlignment="1">
      <alignment horizontal="center" vertical="center" wrapText="1"/>
    </xf>
    <xf numFmtId="164" fontId="72" fillId="0" borderId="14" xfId="26" applyNumberFormat="1" applyFont="1" applyBorder="1" applyAlignment="1">
      <alignment horizontal="center" vertical="center" wrapText="1"/>
    </xf>
    <xf numFmtId="164" fontId="17" fillId="0" borderId="22" xfId="5" quotePrefix="1" applyNumberFormat="1" applyFont="1" applyBorder="1" applyAlignment="1">
      <alignment horizontal="center" vertical="center" wrapText="1"/>
    </xf>
    <xf numFmtId="164" fontId="17" fillId="0" borderId="14" xfId="5" quotePrefix="1" applyNumberFormat="1" applyFont="1" applyBorder="1" applyAlignment="1">
      <alignment horizontal="center" vertical="center" wrapText="1"/>
    </xf>
    <xf numFmtId="0" fontId="17" fillId="0" borderId="22" xfId="6" applyFont="1" applyBorder="1" applyAlignment="1">
      <alignment horizontal="center" vertical="center" wrapText="1"/>
    </xf>
    <xf numFmtId="0" fontId="17" fillId="0" borderId="14" xfId="6" applyFont="1" applyBorder="1" applyAlignment="1">
      <alignment horizontal="center" vertical="center" wrapText="1"/>
    </xf>
    <xf numFmtId="49" fontId="73" fillId="0" borderId="22" xfId="6" applyNumberFormat="1" applyFont="1" applyBorder="1" applyAlignment="1">
      <alignment horizontal="center" vertical="center" wrapText="1"/>
    </xf>
    <xf numFmtId="49" fontId="73" fillId="0" borderId="14" xfId="6" applyNumberFormat="1" applyFont="1" applyBorder="1" applyAlignment="1">
      <alignment horizontal="center" vertical="center" wrapText="1"/>
    </xf>
    <xf numFmtId="0" fontId="20" fillId="0" borderId="22" xfId="6" applyFont="1" applyBorder="1" applyAlignment="1">
      <alignment horizontal="center" vertical="center" wrapText="1"/>
    </xf>
    <xf numFmtId="0" fontId="20" fillId="0" borderId="14" xfId="6" applyFont="1" applyBorder="1" applyAlignment="1">
      <alignment horizontal="center" vertical="center" wrapText="1"/>
    </xf>
    <xf numFmtId="4" fontId="20" fillId="0" borderId="22" xfId="6" applyNumberFormat="1" applyFont="1" applyBorder="1" applyAlignment="1">
      <alignment horizontal="center" vertical="center"/>
    </xf>
    <xf numFmtId="4" fontId="20" fillId="0" borderId="14" xfId="6" applyNumberFormat="1" applyFont="1" applyBorder="1" applyAlignment="1">
      <alignment horizontal="center" vertical="center"/>
    </xf>
    <xf numFmtId="0" fontId="20" fillId="0" borderId="43" xfId="6" applyFont="1" applyBorder="1" applyAlignment="1">
      <alignment horizontal="left" vertical="center" wrapText="1"/>
    </xf>
    <xf numFmtId="0" fontId="20" fillId="0" borderId="29" xfId="6" applyFont="1" applyBorder="1" applyAlignment="1">
      <alignment horizontal="left" vertical="center" wrapText="1"/>
    </xf>
    <xf numFmtId="0" fontId="20" fillId="0" borderId="58" xfId="6" applyFont="1" applyBorder="1" applyAlignment="1">
      <alignment horizontal="left" vertical="center" wrapText="1"/>
    </xf>
    <xf numFmtId="0" fontId="17" fillId="0" borderId="4" xfId="6" quotePrefix="1" applyFont="1" applyBorder="1" applyAlignment="1">
      <alignment horizontal="left" vertical="center" wrapText="1"/>
    </xf>
    <xf numFmtId="0" fontId="17" fillId="0" borderId="6" xfId="6" quotePrefix="1" applyFont="1" applyBorder="1" applyAlignment="1">
      <alignment horizontal="left" vertical="center" wrapText="1"/>
    </xf>
    <xf numFmtId="0" fontId="17" fillId="0" borderId="5" xfId="6" quotePrefix="1" applyFont="1" applyBorder="1" applyAlignment="1">
      <alignment horizontal="left" vertical="center" wrapText="1"/>
    </xf>
    <xf numFmtId="49" fontId="20" fillId="0" borderId="22" xfId="6" quotePrefix="1" applyNumberFormat="1" applyFont="1" applyBorder="1" applyAlignment="1">
      <alignment horizontal="center" vertical="center" wrapText="1"/>
    </xf>
    <xf numFmtId="49" fontId="20" fillId="0" borderId="14" xfId="6" quotePrefix="1" applyNumberFormat="1" applyFont="1" applyBorder="1" applyAlignment="1">
      <alignment horizontal="center" vertical="center" wrapText="1"/>
    </xf>
    <xf numFmtId="4" fontId="87" fillId="0" borderId="22" xfId="6" applyNumberFormat="1" applyFont="1" applyBorder="1" applyAlignment="1">
      <alignment horizontal="center" vertical="center"/>
    </xf>
    <xf numFmtId="4" fontId="87" fillId="0" borderId="14" xfId="6" applyNumberFormat="1" applyFont="1" applyBorder="1" applyAlignment="1">
      <alignment horizontal="center" vertical="center"/>
    </xf>
    <xf numFmtId="4" fontId="17" fillId="0" borderId="22" xfId="6" applyNumberFormat="1" applyFont="1" applyBorder="1" applyAlignment="1">
      <alignment horizontal="center" vertical="center"/>
    </xf>
    <xf numFmtId="4" fontId="17" fillId="0" borderId="14" xfId="6" applyNumberFormat="1" applyFont="1" applyBorder="1" applyAlignment="1">
      <alignment horizontal="center" vertical="center"/>
    </xf>
    <xf numFmtId="0" fontId="17" fillId="0" borderId="4" xfId="7" quotePrefix="1" applyFont="1" applyBorder="1" applyAlignment="1">
      <alignment horizontal="left" vertical="center" wrapText="1"/>
    </xf>
    <xf numFmtId="0" fontId="17" fillId="0" borderId="6" xfId="7" quotePrefix="1" applyFont="1" applyBorder="1" applyAlignment="1">
      <alignment horizontal="left" vertical="center" wrapText="1"/>
    </xf>
    <xf numFmtId="0" fontId="17" fillId="0" borderId="22" xfId="7" applyFont="1" applyBorder="1" applyAlignment="1">
      <alignment horizontal="center" vertical="center" wrapText="1"/>
    </xf>
    <xf numFmtId="0" fontId="17" fillId="0" borderId="14" xfId="7" applyFont="1" applyBorder="1" applyAlignment="1">
      <alignment horizontal="center" vertical="center" wrapText="1"/>
    </xf>
    <xf numFmtId="166" fontId="17" fillId="0" borderId="22" xfId="7" quotePrefix="1" applyNumberFormat="1" applyFont="1" applyBorder="1" applyAlignment="1">
      <alignment horizontal="center" vertical="center" wrapText="1"/>
    </xf>
    <xf numFmtId="166" fontId="17" fillId="0" borderId="14" xfId="7" quotePrefix="1" applyNumberFormat="1" applyFont="1" applyBorder="1" applyAlignment="1">
      <alignment horizontal="center" vertical="center" wrapText="1"/>
    </xf>
    <xf numFmtId="0" fontId="20" fillId="0" borderId="43" xfId="7" applyFont="1" applyBorder="1" applyAlignment="1">
      <alignment horizontal="left" vertical="center" wrapText="1"/>
    </xf>
    <xf numFmtId="0" fontId="20" fillId="0" borderId="29" xfId="7" applyFont="1" applyBorder="1" applyAlignment="1">
      <alignment horizontal="left" vertical="center" wrapText="1"/>
    </xf>
    <xf numFmtId="0" fontId="20" fillId="0" borderId="58" xfId="7" applyFont="1" applyBorder="1" applyAlignment="1">
      <alignment horizontal="left" vertical="center" wrapText="1"/>
    </xf>
    <xf numFmtId="0" fontId="17" fillId="10" borderId="4" xfId="26" applyFont="1" applyFill="1" applyBorder="1" applyAlignment="1">
      <alignment horizontal="left" vertical="center" wrapText="1"/>
    </xf>
    <xf numFmtId="0" fontId="17" fillId="10" borderId="6" xfId="26" applyFont="1" applyFill="1" applyBorder="1" applyAlignment="1">
      <alignment horizontal="left" vertical="center" wrapText="1"/>
    </xf>
    <xf numFmtId="43" fontId="0" fillId="0" borderId="22" xfId="1" applyFont="1" applyFill="1" applyBorder="1" applyAlignment="1">
      <alignment horizontal="center" vertical="center"/>
    </xf>
    <xf numFmtId="43" fontId="0" fillId="0" borderId="14" xfId="1" applyFont="1" applyFill="1" applyBorder="1" applyAlignment="1">
      <alignment horizontal="center" vertical="center"/>
    </xf>
    <xf numFmtId="0" fontId="20" fillId="0" borderId="4" xfId="7" quotePrefix="1" applyFont="1" applyBorder="1" applyAlignment="1">
      <alignment horizontal="left" vertical="center" wrapText="1"/>
    </xf>
    <xf numFmtId="0" fontId="20" fillId="0" borderId="6" xfId="7" applyFont="1" applyBorder="1" applyAlignment="1">
      <alignment horizontal="left" vertical="center" wrapText="1"/>
    </xf>
    <xf numFmtId="0" fontId="20" fillId="0" borderId="5" xfId="7" applyFont="1" applyBorder="1" applyAlignment="1">
      <alignment horizontal="left" vertical="center" wrapText="1"/>
    </xf>
    <xf numFmtId="166" fontId="17" fillId="0" borderId="22" xfId="7" applyNumberFormat="1" applyFont="1" applyBorder="1" applyAlignment="1">
      <alignment horizontal="center" vertical="center" wrapText="1"/>
    </xf>
    <xf numFmtId="166" fontId="17" fillId="0" borderId="14" xfId="7" applyNumberFormat="1" applyFont="1" applyBorder="1" applyAlignment="1">
      <alignment horizontal="center" vertical="center" wrapText="1"/>
    </xf>
    <xf numFmtId="49" fontId="17" fillId="0" borderId="22" xfId="6" quotePrefix="1" applyNumberFormat="1" applyFont="1" applyBorder="1" applyAlignment="1">
      <alignment horizontal="center" vertical="center" wrapText="1"/>
    </xf>
    <xf numFmtId="49" fontId="17" fillId="12" borderId="14" xfId="6" quotePrefix="1" applyNumberFormat="1" applyFont="1" applyFill="1" applyBorder="1" applyAlignment="1">
      <alignment horizontal="center" vertical="center" wrapText="1"/>
    </xf>
    <xf numFmtId="166" fontId="20" fillId="0" borderId="22" xfId="7" quotePrefix="1" applyNumberFormat="1" applyFont="1" applyBorder="1" applyAlignment="1">
      <alignment horizontal="center" vertical="center" wrapText="1"/>
    </xf>
    <xf numFmtId="166" fontId="20" fillId="0" borderId="14" xfId="7" quotePrefix="1" applyNumberFormat="1" applyFont="1" applyBorder="1" applyAlignment="1">
      <alignment horizontal="center" vertical="center" wrapText="1"/>
    </xf>
    <xf numFmtId="0" fontId="20" fillId="0" borderId="4" xfId="7" applyFont="1" applyBorder="1" applyAlignment="1">
      <alignment horizontal="left" vertical="center" wrapText="1"/>
    </xf>
    <xf numFmtId="0" fontId="20" fillId="0" borderId="22" xfId="7" applyFont="1" applyBorder="1" applyAlignment="1">
      <alignment horizontal="center" vertical="center" wrapText="1"/>
    </xf>
    <xf numFmtId="0" fontId="20" fillId="0" borderId="14" xfId="7" applyFont="1" applyBorder="1" applyAlignment="1">
      <alignment horizontal="center" vertical="center" wrapText="1"/>
    </xf>
    <xf numFmtId="0" fontId="73" fillId="10" borderId="2" xfId="0" applyFont="1" applyFill="1" applyBorder="1" applyAlignment="1">
      <alignment vertical="center" wrapText="1"/>
    </xf>
    <xf numFmtId="0" fontId="73" fillId="10" borderId="4" xfId="0" applyFont="1" applyFill="1" applyBorder="1" applyAlignment="1">
      <alignment vertical="center" wrapText="1"/>
    </xf>
    <xf numFmtId="0" fontId="73" fillId="13" borderId="4" xfId="5" applyFont="1" applyFill="1" applyBorder="1" applyAlignment="1">
      <alignment horizontal="left" vertical="center" wrapText="1"/>
    </xf>
    <xf numFmtId="0" fontId="73" fillId="0" borderId="4" xfId="6" applyFont="1" applyBorder="1" applyAlignment="1">
      <alignment horizontal="left" vertical="center" wrapText="1"/>
    </xf>
    <xf numFmtId="0" fontId="73" fillId="0" borderId="6" xfId="6" applyFont="1" applyBorder="1" applyAlignment="1">
      <alignment horizontal="left" vertical="center" wrapText="1"/>
    </xf>
    <xf numFmtId="0" fontId="73" fillId="0" borderId="5" xfId="6" applyFont="1" applyBorder="1" applyAlignment="1">
      <alignment horizontal="left" vertical="center" wrapText="1"/>
    </xf>
    <xf numFmtId="49" fontId="73" fillId="0" borderId="22" xfId="6" quotePrefix="1" applyNumberFormat="1" applyFont="1" applyBorder="1" applyAlignment="1">
      <alignment horizontal="center" vertical="center" wrapText="1"/>
    </xf>
    <xf numFmtId="49" fontId="17" fillId="0" borderId="14" xfId="6" quotePrefix="1" applyNumberFormat="1" applyFont="1" applyBorder="1" applyAlignment="1">
      <alignment horizontal="center" vertical="center" wrapText="1"/>
    </xf>
    <xf numFmtId="0" fontId="72" fillId="0" borderId="43" xfId="6" applyFont="1" applyBorder="1" applyAlignment="1">
      <alignment horizontal="left" vertical="center" wrapText="1"/>
    </xf>
    <xf numFmtId="0" fontId="72" fillId="0" borderId="29" xfId="6" applyFont="1" applyBorder="1" applyAlignment="1">
      <alignment horizontal="left" vertical="center" wrapText="1"/>
    </xf>
    <xf numFmtId="0" fontId="72" fillId="0" borderId="58" xfId="6" applyFont="1" applyBorder="1" applyAlignment="1">
      <alignment horizontal="left" vertical="center" wrapText="1"/>
    </xf>
    <xf numFmtId="0" fontId="72" fillId="0" borderId="22" xfId="6" applyFont="1" applyBorder="1" applyAlignment="1">
      <alignment horizontal="center" vertical="center" wrapText="1"/>
    </xf>
    <xf numFmtId="4" fontId="72" fillId="0" borderId="22" xfId="6" applyNumberFormat="1" applyFont="1" applyBorder="1" applyAlignment="1">
      <alignment horizontal="center" vertical="center"/>
    </xf>
    <xf numFmtId="0" fontId="20" fillId="0" borderId="22" xfId="7" applyFont="1" applyBorder="1" applyAlignment="1">
      <alignment horizontal="left" vertical="center" wrapText="1"/>
    </xf>
    <xf numFmtId="0" fontId="17" fillId="13" borderId="33" xfId="5" applyFont="1" applyFill="1" applyBorder="1" applyAlignment="1">
      <alignment horizontal="left" vertical="center" wrapText="1"/>
    </xf>
    <xf numFmtId="0" fontId="17" fillId="13" borderId="31" xfId="5" applyFont="1" applyFill="1" applyBorder="1" applyAlignment="1">
      <alignment horizontal="left" vertical="center" wrapText="1"/>
    </xf>
    <xf numFmtId="0" fontId="17" fillId="13" borderId="32" xfId="5" applyFont="1" applyFill="1" applyBorder="1" applyAlignment="1">
      <alignment horizontal="left" vertical="center" wrapText="1"/>
    </xf>
    <xf numFmtId="0" fontId="17" fillId="13" borderId="44" xfId="5" applyFont="1" applyFill="1" applyBorder="1" applyAlignment="1">
      <alignment horizontal="left" vertical="center" wrapText="1"/>
    </xf>
    <xf numFmtId="0" fontId="17" fillId="13" borderId="0" xfId="5" applyFont="1" applyFill="1" applyAlignment="1">
      <alignment horizontal="left" vertical="center" wrapText="1"/>
    </xf>
    <xf numFmtId="0" fontId="17" fillId="13" borderId="1" xfId="5" applyFont="1" applyFill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0" fontId="72" fillId="0" borderId="22" xfId="7" applyFont="1" applyBorder="1" applyAlignment="1">
      <alignment horizontal="left" vertical="center" wrapText="1"/>
    </xf>
    <xf numFmtId="0" fontId="17" fillId="10" borderId="0" xfId="0" applyFont="1" applyFill="1" applyAlignment="1">
      <alignment horizontal="left" vertical="center" wrapText="1"/>
    </xf>
    <xf numFmtId="0" fontId="17" fillId="13" borderId="4" xfId="7" applyFont="1" applyFill="1" applyBorder="1" applyAlignment="1">
      <alignment horizontal="left" vertical="center" wrapText="1"/>
    </xf>
    <xf numFmtId="0" fontId="17" fillId="13" borderId="6" xfId="7" applyFont="1" applyFill="1" applyBorder="1" applyAlignment="1">
      <alignment horizontal="left" vertical="center" wrapText="1"/>
    </xf>
    <xf numFmtId="0" fontId="17" fillId="13" borderId="5" xfId="7" applyFont="1" applyFill="1" applyBorder="1" applyAlignment="1">
      <alignment horizontal="left" vertical="center" wrapText="1"/>
    </xf>
    <xf numFmtId="0" fontId="17" fillId="13" borderId="44" xfId="7" applyFont="1" applyFill="1" applyBorder="1" applyAlignment="1">
      <alignment horizontal="left" vertical="center" wrapText="1"/>
    </xf>
    <xf numFmtId="0" fontId="17" fillId="13" borderId="0" xfId="7" applyFont="1" applyFill="1" applyAlignment="1">
      <alignment horizontal="left" vertical="center" wrapText="1"/>
    </xf>
    <xf numFmtId="0" fontId="17" fillId="13" borderId="1" xfId="7" applyFont="1" applyFill="1" applyBorder="1" applyAlignment="1">
      <alignment horizontal="left" vertical="center" wrapText="1"/>
    </xf>
    <xf numFmtId="0" fontId="17" fillId="0" borderId="43" xfId="7" applyFont="1" applyBorder="1" applyAlignment="1">
      <alignment horizontal="center" vertical="center" wrapText="1"/>
    </xf>
    <xf numFmtId="0" fontId="17" fillId="0" borderId="33" xfId="7" applyFont="1" applyBorder="1" applyAlignment="1">
      <alignment horizontal="center" vertical="center" wrapText="1"/>
    </xf>
    <xf numFmtId="0" fontId="20" fillId="0" borderId="43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58" xfId="0" applyFont="1" applyBorder="1" applyAlignment="1">
      <alignment horizontal="left" vertical="center" wrapText="1"/>
    </xf>
    <xf numFmtId="0" fontId="17" fillId="0" borderId="43" xfId="7" applyFont="1" applyBorder="1" applyAlignment="1">
      <alignment horizontal="left" vertical="center" wrapText="1"/>
    </xf>
    <xf numFmtId="0" fontId="17" fillId="0" borderId="29" xfId="7" applyFont="1" applyBorder="1" applyAlignment="1">
      <alignment horizontal="left" vertical="center" wrapText="1"/>
    </xf>
    <xf numFmtId="0" fontId="17" fillId="0" borderId="58" xfId="7" applyFont="1" applyBorder="1" applyAlignment="1">
      <alignment horizontal="left" vertical="center" wrapText="1"/>
    </xf>
    <xf numFmtId="0" fontId="73" fillId="0" borderId="43" xfId="7" applyFont="1" applyBorder="1" applyAlignment="1">
      <alignment horizontal="left" vertical="center" wrapText="1"/>
    </xf>
    <xf numFmtId="0" fontId="73" fillId="0" borderId="29" xfId="7" applyFont="1" applyBorder="1" applyAlignment="1">
      <alignment horizontal="left" vertical="center" wrapText="1"/>
    </xf>
    <xf numFmtId="0" fontId="73" fillId="0" borderId="58" xfId="7" applyFont="1" applyBorder="1" applyAlignment="1">
      <alignment horizontal="left" vertical="center" wrapText="1"/>
    </xf>
    <xf numFmtId="0" fontId="17" fillId="0" borderId="39" xfId="5" applyFont="1" applyBorder="1" applyAlignment="1">
      <alignment horizontal="center" vertical="center" wrapText="1"/>
    </xf>
    <xf numFmtId="0" fontId="17" fillId="0" borderId="9" xfId="5" applyFont="1" applyBorder="1" applyAlignment="1">
      <alignment horizontal="center" vertical="center" wrapText="1"/>
    </xf>
    <xf numFmtId="0" fontId="93" fillId="0" borderId="22" xfId="70" applyFont="1" applyBorder="1" applyAlignment="1">
      <alignment horizontal="center" vertical="center" wrapText="1"/>
    </xf>
    <xf numFmtId="0" fontId="93" fillId="0" borderId="14" xfId="70" applyFont="1" applyBorder="1" applyAlignment="1">
      <alignment horizontal="center" vertical="center" wrapText="1"/>
    </xf>
    <xf numFmtId="0" fontId="17" fillId="0" borderId="22" xfId="7" applyFont="1" applyBorder="1" applyAlignment="1">
      <alignment horizontal="left" vertical="center" wrapText="1"/>
    </xf>
    <xf numFmtId="0" fontId="64" fillId="14" borderId="2" xfId="0" applyFont="1" applyFill="1" applyBorder="1" applyAlignment="1">
      <alignment horizontal="right" vertical="center"/>
    </xf>
    <xf numFmtId="0" fontId="64" fillId="20" borderId="4" xfId="5" applyFont="1" applyFill="1" applyBorder="1" applyAlignment="1">
      <alignment horizontal="right" vertical="center" wrapText="1"/>
    </xf>
    <xf numFmtId="0" fontId="64" fillId="20" borderId="6" xfId="5" applyFont="1" applyFill="1" applyBorder="1" applyAlignment="1">
      <alignment horizontal="right" vertical="center" wrapText="1"/>
    </xf>
    <xf numFmtId="0" fontId="64" fillId="20" borderId="5" xfId="5" applyFont="1" applyFill="1" applyBorder="1" applyAlignment="1">
      <alignment horizontal="right" vertical="center" wrapText="1"/>
    </xf>
    <xf numFmtId="0" fontId="24" fillId="14" borderId="4" xfId="0" applyFont="1" applyFill="1" applyBorder="1" applyAlignment="1">
      <alignment horizontal="center" vertical="center" wrapText="1"/>
    </xf>
    <xf numFmtId="0" fontId="24" fillId="14" borderId="6" xfId="0" applyFont="1" applyFill="1" applyBorder="1" applyAlignment="1">
      <alignment horizontal="center" vertical="center" wrapText="1"/>
    </xf>
    <xf numFmtId="0" fontId="24" fillId="14" borderId="5" xfId="0" applyFont="1" applyFill="1" applyBorder="1" applyAlignment="1">
      <alignment horizontal="center" vertical="center" wrapText="1"/>
    </xf>
    <xf numFmtId="0" fontId="65" fillId="11" borderId="19" xfId="0" applyFont="1" applyFill="1" applyBorder="1" applyAlignment="1">
      <alignment horizontal="center" vertical="center" wrapText="1"/>
    </xf>
    <xf numFmtId="0" fontId="66" fillId="11" borderId="20" xfId="0" applyFont="1" applyFill="1" applyBorder="1" applyAlignment="1">
      <alignment horizontal="center" vertical="center"/>
    </xf>
    <xf numFmtId="0" fontId="66" fillId="11" borderId="21" xfId="0" applyFont="1" applyFill="1" applyBorder="1" applyAlignment="1">
      <alignment horizontal="center" vertical="center"/>
    </xf>
    <xf numFmtId="4" fontId="20" fillId="11" borderId="4" xfId="0" applyNumberFormat="1" applyFont="1" applyFill="1" applyBorder="1" applyAlignment="1">
      <alignment horizontal="center" vertical="center"/>
    </xf>
    <xf numFmtId="4" fontId="20" fillId="11" borderId="5" xfId="0" applyNumberFormat="1" applyFont="1" applyFill="1" applyBorder="1" applyAlignment="1">
      <alignment horizontal="center" vertical="center"/>
    </xf>
    <xf numFmtId="0" fontId="17" fillId="14" borderId="19" xfId="0" applyFont="1" applyFill="1" applyBorder="1" applyAlignment="1">
      <alignment horizontal="center" vertical="center" wrapText="1"/>
    </xf>
    <xf numFmtId="0" fontId="17" fillId="14" borderId="20" xfId="0" applyFont="1" applyFill="1" applyBorder="1" applyAlignment="1">
      <alignment horizontal="center" vertical="center" wrapText="1"/>
    </xf>
    <xf numFmtId="0" fontId="17" fillId="14" borderId="21" xfId="0" applyFont="1" applyFill="1" applyBorder="1" applyAlignment="1">
      <alignment horizontal="center" vertical="center" wrapText="1"/>
    </xf>
    <xf numFmtId="4" fontId="17" fillId="10" borderId="4" xfId="0" applyNumberFormat="1" applyFont="1" applyFill="1" applyBorder="1" applyAlignment="1">
      <alignment horizontal="center" vertical="center" wrapText="1"/>
    </xf>
    <xf numFmtId="4" fontId="17" fillId="10" borderId="5" xfId="0" applyNumberFormat="1" applyFont="1" applyFill="1" applyBorder="1" applyAlignment="1">
      <alignment horizontal="center" vertical="center" wrapText="1"/>
    </xf>
    <xf numFmtId="164" fontId="24" fillId="11" borderId="14" xfId="5" applyNumberFormat="1" applyFont="1" applyFill="1" applyBorder="1" applyAlignment="1">
      <alignment horizontal="center" vertical="center" wrapText="1"/>
    </xf>
    <xf numFmtId="164" fontId="24" fillId="11" borderId="14" xfId="5" quotePrefix="1" applyNumberFormat="1" applyFont="1" applyFill="1" applyBorder="1" applyAlignment="1">
      <alignment horizontal="center" vertical="center" wrapText="1"/>
    </xf>
    <xf numFmtId="164" fontId="24" fillId="11" borderId="37" xfId="5" quotePrefix="1" applyNumberFormat="1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vertical="center" wrapText="1"/>
    </xf>
    <xf numFmtId="0" fontId="17" fillId="13" borderId="10" xfId="5" applyFont="1" applyFill="1" applyBorder="1" applyAlignment="1">
      <alignment horizontal="left" vertical="center" wrapText="1"/>
    </xf>
    <xf numFmtId="164" fontId="24" fillId="11" borderId="10" xfId="5" quotePrefix="1" applyNumberFormat="1" applyFont="1" applyFill="1" applyBorder="1" applyAlignment="1">
      <alignment horizontal="center" vertical="center" wrapText="1"/>
    </xf>
    <xf numFmtId="4" fontId="73" fillId="10" borderId="4" xfId="0" applyNumberFormat="1" applyFont="1" applyFill="1" applyBorder="1" applyAlignment="1">
      <alignment horizontal="center" vertical="center" wrapText="1"/>
    </xf>
    <xf numFmtId="4" fontId="73" fillId="10" borderId="5" xfId="0" applyNumberFormat="1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vertical="center"/>
    </xf>
    <xf numFmtId="0" fontId="17" fillId="13" borderId="30" xfId="5" applyFont="1" applyFill="1" applyBorder="1" applyAlignment="1">
      <alignment horizontal="left" vertical="center" wrapText="1"/>
    </xf>
    <xf numFmtId="2" fontId="17" fillId="13" borderId="4" xfId="0" applyNumberFormat="1" applyFont="1" applyFill="1" applyBorder="1" applyAlignment="1">
      <alignment horizontal="center" vertical="center"/>
    </xf>
    <xf numFmtId="2" fontId="17" fillId="13" borderId="5" xfId="0" applyNumberFormat="1" applyFont="1" applyFill="1" applyBorder="1" applyAlignment="1">
      <alignment horizontal="center" vertical="center"/>
    </xf>
    <xf numFmtId="0" fontId="73" fillId="13" borderId="10" xfId="5" applyFont="1" applyFill="1" applyBorder="1" applyAlignment="1">
      <alignment horizontal="left" vertical="center" wrapText="1"/>
    </xf>
    <xf numFmtId="2" fontId="73" fillId="13" borderId="2" xfId="0" applyNumberFormat="1" applyFont="1" applyFill="1" applyBorder="1" applyAlignment="1">
      <alignment horizontal="center" vertical="center"/>
    </xf>
    <xf numFmtId="2" fontId="57" fillId="14" borderId="2" xfId="2" applyNumberFormat="1" applyFont="1" applyFill="1" applyBorder="1" applyAlignment="1">
      <alignment horizontal="center" vertical="center" wrapText="1"/>
    </xf>
    <xf numFmtId="2" fontId="0" fillId="0" borderId="4" xfId="2" applyNumberFormat="1" applyFont="1" applyBorder="1" applyAlignment="1">
      <alignment horizontal="left" vertical="center" wrapText="1"/>
    </xf>
    <xf numFmtId="2" fontId="0" fillId="0" borderId="5" xfId="2" applyNumberFormat="1" applyFont="1" applyBorder="1" applyAlignment="1">
      <alignment horizontal="left" vertical="center" wrapText="1"/>
    </xf>
    <xf numFmtId="2" fontId="62" fillId="17" borderId="8" xfId="0" applyNumberFormat="1" applyFont="1" applyFill="1" applyBorder="1" applyAlignment="1">
      <alignment horizontal="center" vertical="center" wrapText="1"/>
    </xf>
    <xf numFmtId="2" fontId="62" fillId="0" borderId="0" xfId="0" applyNumberFormat="1" applyFont="1" applyAlignment="1">
      <alignment horizontal="left" vertical="center"/>
    </xf>
    <xf numFmtId="2" fontId="0" fillId="15" borderId="33" xfId="0" applyNumberFormat="1" applyFill="1" applyBorder="1" applyAlignment="1">
      <alignment horizontal="center" vertical="center" wrapText="1"/>
    </xf>
    <xf numFmtId="2" fontId="0" fillId="15" borderId="32" xfId="0" applyNumberFormat="1" applyFill="1" applyBorder="1" applyAlignment="1">
      <alignment horizontal="center" vertical="center" wrapText="1"/>
    </xf>
    <xf numFmtId="2" fontId="62" fillId="17" borderId="55" xfId="0" applyNumberFormat="1" applyFont="1" applyFill="1" applyBorder="1" applyAlignment="1">
      <alignment horizontal="center" vertical="center"/>
    </xf>
    <xf numFmtId="2" fontId="62" fillId="17" borderId="34" xfId="0" applyNumberFormat="1" applyFont="1" applyFill="1" applyBorder="1" applyAlignment="1">
      <alignment horizontal="center" vertical="center"/>
    </xf>
    <xf numFmtId="2" fontId="21" fillId="0" borderId="22" xfId="2" applyNumberFormat="1" applyFont="1" applyBorder="1" applyAlignment="1">
      <alignment horizontal="center" vertical="center" wrapText="1"/>
    </xf>
    <xf numFmtId="2" fontId="21" fillId="0" borderId="14" xfId="2" applyNumberFormat="1" applyFont="1" applyBorder="1" applyAlignment="1">
      <alignment horizontal="center" vertical="center" wrapText="1"/>
    </xf>
    <xf numFmtId="2" fontId="62" fillId="17" borderId="34" xfId="0" applyNumberFormat="1" applyFont="1" applyFill="1" applyBorder="1" applyAlignment="1">
      <alignment horizontal="center" vertical="center" wrapText="1"/>
    </xf>
    <xf numFmtId="2" fontId="62" fillId="17" borderId="60" xfId="0" applyNumberFormat="1" applyFont="1" applyFill="1" applyBorder="1" applyAlignment="1">
      <alignment horizontal="center" vertical="center" wrapText="1"/>
    </xf>
    <xf numFmtId="2" fontId="43" fillId="0" borderId="39" xfId="0" applyNumberFormat="1" applyFont="1" applyBorder="1" applyAlignment="1">
      <alignment horizontal="center" vertical="center" textRotation="90"/>
    </xf>
    <xf numFmtId="2" fontId="43" fillId="0" borderId="40" xfId="0" applyNumberFormat="1" applyFont="1" applyBorder="1" applyAlignment="1">
      <alignment horizontal="center" vertical="center" textRotation="90"/>
    </xf>
    <xf numFmtId="2" fontId="82" fillId="0" borderId="40" xfId="0" applyNumberFormat="1" applyFont="1" applyBorder="1" applyAlignment="1">
      <alignment horizontal="center" vertical="center" textRotation="90"/>
    </xf>
    <xf numFmtId="2" fontId="43" fillId="0" borderId="9" xfId="0" applyNumberFormat="1" applyFont="1" applyBorder="1" applyAlignment="1">
      <alignment horizontal="center" vertical="center" textRotation="90"/>
    </xf>
    <xf numFmtId="2" fontId="0" fillId="0" borderId="22" xfId="2" applyNumberFormat="1" applyFont="1" applyBorder="1" applyAlignment="1">
      <alignment horizontal="center" vertical="center" wrapText="1"/>
    </xf>
    <xf numFmtId="2" fontId="0" fillId="0" borderId="14" xfId="2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left" vertical="center" wrapText="1"/>
    </xf>
    <xf numFmtId="2" fontId="0" fillId="0" borderId="41" xfId="0" applyNumberFormat="1" applyBorder="1" applyAlignment="1">
      <alignment horizontal="left" vertical="center" wrapText="1"/>
    </xf>
    <xf numFmtId="2" fontId="0" fillId="0" borderId="14" xfId="0" applyNumberFormat="1" applyBorder="1" applyAlignment="1">
      <alignment horizontal="left" vertical="center" wrapText="1"/>
    </xf>
    <xf numFmtId="2" fontId="43" fillId="18" borderId="39" xfId="0" applyNumberFormat="1" applyFont="1" applyFill="1" applyBorder="1" applyAlignment="1">
      <alignment horizontal="center" vertical="center" textRotation="90"/>
    </xf>
    <xf numFmtId="2" fontId="43" fillId="18" borderId="40" xfId="0" applyNumberFormat="1" applyFont="1" applyFill="1" applyBorder="1" applyAlignment="1">
      <alignment horizontal="center" vertical="center" textRotation="90"/>
    </xf>
    <xf numFmtId="2" fontId="62" fillId="17" borderId="7" xfId="0" applyNumberFormat="1" applyFont="1" applyFill="1" applyBorder="1" applyAlignment="1">
      <alignment horizontal="center" vertical="center"/>
    </xf>
    <xf numFmtId="2" fontId="62" fillId="17" borderId="8" xfId="0" applyNumberFormat="1" applyFont="1" applyFill="1" applyBorder="1" applyAlignment="1">
      <alignment horizontal="center" vertical="center"/>
    </xf>
    <xf numFmtId="2" fontId="57" fillId="14" borderId="39" xfId="2" applyNumberFormat="1" applyFont="1" applyFill="1" applyBorder="1" applyAlignment="1">
      <alignment horizontal="center" vertical="center" wrapText="1"/>
    </xf>
    <xf numFmtId="2" fontId="57" fillId="14" borderId="40" xfId="2" applyNumberFormat="1" applyFont="1" applyFill="1" applyBorder="1" applyAlignment="1">
      <alignment horizontal="center" vertical="center" wrapText="1"/>
    </xf>
    <xf numFmtId="2" fontId="57" fillId="14" borderId="9" xfId="2" applyNumberFormat="1" applyFont="1" applyFill="1" applyBorder="1" applyAlignment="1">
      <alignment horizontal="center" vertical="center" wrapText="1"/>
    </xf>
    <xf numFmtId="2" fontId="0" fillId="0" borderId="43" xfId="2" applyNumberFormat="1" applyFont="1" applyBorder="1" applyAlignment="1">
      <alignment horizontal="center" vertical="center" wrapText="1"/>
    </xf>
    <xf numFmtId="2" fontId="0" fillId="0" borderId="29" xfId="2" applyNumberFormat="1" applyFont="1" applyBorder="1" applyAlignment="1">
      <alignment horizontal="center" vertical="center" wrapText="1"/>
    </xf>
    <xf numFmtId="2" fontId="0" fillId="0" borderId="58" xfId="2" applyNumberFormat="1" applyFont="1" applyBorder="1" applyAlignment="1">
      <alignment horizontal="center" vertical="center" wrapText="1"/>
    </xf>
    <xf numFmtId="2" fontId="0" fillId="0" borderId="44" xfId="2" applyNumberFormat="1" applyFont="1" applyBorder="1" applyAlignment="1">
      <alignment horizontal="center" vertical="center" wrapText="1"/>
    </xf>
    <xf numFmtId="2" fontId="0" fillId="0" borderId="0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 vertical="center" wrapText="1"/>
    </xf>
    <xf numFmtId="2" fontId="0" fillId="0" borderId="33" xfId="2" applyNumberFormat="1" applyFont="1" applyBorder="1" applyAlignment="1">
      <alignment horizontal="center" vertical="center" wrapText="1"/>
    </xf>
    <xf numFmtId="2" fontId="0" fillId="0" borderId="31" xfId="2" applyNumberFormat="1" applyFont="1" applyBorder="1" applyAlignment="1">
      <alignment horizontal="center" vertical="center" wrapText="1"/>
    </xf>
    <xf numFmtId="2" fontId="0" fillId="0" borderId="32" xfId="2" applyNumberFormat="1" applyFont="1" applyBorder="1" applyAlignment="1">
      <alignment horizontal="center" vertical="center" wrapText="1"/>
    </xf>
    <xf numFmtId="2" fontId="0" fillId="0" borderId="59" xfId="2" applyNumberFormat="1" applyFont="1" applyBorder="1" applyAlignment="1">
      <alignment horizontal="center" vertical="center" wrapText="1"/>
    </xf>
    <xf numFmtId="2" fontId="0" fillId="0" borderId="26" xfId="2" applyNumberFormat="1" applyFont="1" applyBorder="1" applyAlignment="1">
      <alignment horizontal="center" vertical="center" wrapText="1"/>
    </xf>
    <xf numFmtId="2" fontId="0" fillId="0" borderId="45" xfId="2" applyNumberFormat="1" applyFont="1" applyBorder="1" applyAlignment="1">
      <alignment horizontal="center" vertical="center" wrapText="1"/>
    </xf>
    <xf numFmtId="2" fontId="57" fillId="14" borderId="3" xfId="2" applyNumberFormat="1" applyFont="1" applyFill="1" applyBorder="1" applyAlignment="1">
      <alignment horizontal="center" vertical="center" wrapText="1"/>
    </xf>
    <xf numFmtId="2" fontId="57" fillId="14" borderId="11" xfId="2" applyNumberFormat="1" applyFont="1" applyFill="1" applyBorder="1" applyAlignment="1">
      <alignment horizontal="center" vertical="center" wrapText="1"/>
    </xf>
    <xf numFmtId="2" fontId="77" fillId="0" borderId="58" xfId="2" applyNumberFormat="1" applyFont="1" applyBorder="1" applyAlignment="1">
      <alignment horizontal="center" vertical="center" wrapText="1"/>
    </xf>
    <xf numFmtId="2" fontId="0" fillId="0" borderId="61" xfId="2" applyNumberFormat="1" applyFont="1" applyBorder="1" applyAlignment="1">
      <alignment horizontal="center" vertical="center" wrapText="1"/>
    </xf>
    <xf numFmtId="2" fontId="0" fillId="0" borderId="56" xfId="2" applyNumberFormat="1" applyFont="1" applyBorder="1" applyAlignment="1">
      <alignment horizontal="center" vertical="center" wrapText="1"/>
    </xf>
    <xf numFmtId="2" fontId="0" fillId="0" borderId="57" xfId="2" applyNumberFormat="1" applyFont="1" applyBorder="1" applyAlignment="1">
      <alignment horizontal="center" vertical="center" wrapText="1"/>
    </xf>
    <xf numFmtId="2" fontId="0" fillId="0" borderId="43" xfId="2" applyNumberFormat="1" applyFont="1" applyBorder="1" applyAlignment="1" applyProtection="1">
      <alignment horizontal="center" vertical="center" wrapText="1"/>
      <protection locked="0"/>
    </xf>
    <xf numFmtId="2" fontId="0" fillId="0" borderId="29" xfId="2" applyNumberFormat="1" applyFont="1" applyBorder="1" applyAlignment="1" applyProtection="1">
      <alignment horizontal="center" vertical="center" wrapText="1"/>
      <protection locked="0"/>
    </xf>
    <xf numFmtId="2" fontId="0" fillId="0" borderId="59" xfId="2" applyNumberFormat="1" applyFont="1" applyBorder="1" applyAlignment="1" applyProtection="1">
      <alignment horizontal="center" vertical="center" wrapText="1"/>
      <protection locked="0"/>
    </xf>
    <xf numFmtId="2" fontId="0" fillId="0" borderId="44" xfId="2" applyNumberFormat="1" applyFont="1" applyBorder="1" applyAlignment="1" applyProtection="1">
      <alignment horizontal="center" vertical="center" wrapText="1"/>
      <protection locked="0"/>
    </xf>
    <xf numFmtId="2" fontId="0" fillId="0" borderId="0" xfId="2" applyNumberFormat="1" applyFont="1" applyBorder="1" applyAlignment="1" applyProtection="1">
      <alignment horizontal="center" vertical="center" wrapText="1"/>
      <protection locked="0"/>
    </xf>
    <xf numFmtId="2" fontId="0" fillId="0" borderId="26" xfId="2" applyNumberFormat="1" applyFont="1" applyBorder="1" applyAlignment="1" applyProtection="1">
      <alignment horizontal="center" vertical="center" wrapText="1"/>
      <protection locked="0"/>
    </xf>
    <xf numFmtId="2" fontId="0" fillId="0" borderId="61" xfId="2" applyNumberFormat="1" applyFont="1" applyBorder="1" applyAlignment="1" applyProtection="1">
      <alignment horizontal="center" vertical="center" wrapText="1"/>
      <protection locked="0"/>
    </xf>
    <xf numFmtId="2" fontId="0" fillId="0" borderId="56" xfId="2" applyNumberFormat="1" applyFont="1" applyBorder="1" applyAlignment="1" applyProtection="1">
      <alignment horizontal="center" vertical="center" wrapText="1"/>
      <protection locked="0"/>
    </xf>
    <xf numFmtId="2" fontId="0" fillId="0" borderId="28" xfId="2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 horizontal="center"/>
    </xf>
    <xf numFmtId="0" fontId="55" fillId="0" borderId="0" xfId="0" applyFont="1" applyAlignment="1">
      <alignment horizontal="left" wrapText="1"/>
    </xf>
    <xf numFmtId="2" fontId="31" fillId="0" borderId="2" xfId="2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2" fontId="31" fillId="0" borderId="2" xfId="0" applyNumberFormat="1" applyFont="1" applyBorder="1" applyAlignment="1">
      <alignment horizontal="center" vertical="center"/>
    </xf>
    <xf numFmtId="2" fontId="31" fillId="0" borderId="22" xfId="2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2" fontId="52" fillId="0" borderId="2" xfId="0" applyNumberFormat="1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2" fontId="31" fillId="0" borderId="41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 vertical="top"/>
    </xf>
    <xf numFmtId="0" fontId="49" fillId="0" borderId="31" xfId="0" applyFont="1" applyBorder="1" applyAlignment="1">
      <alignment horizontal="right" vertical="top"/>
    </xf>
    <xf numFmtId="0" fontId="5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53" fillId="7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3" fillId="7" borderId="2" xfId="0" applyFont="1" applyFill="1" applyBorder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2" fontId="31" fillId="0" borderId="14" xfId="0" applyNumberFormat="1" applyFont="1" applyBorder="1" applyAlignment="1">
      <alignment horizontal="center" vertical="center"/>
    </xf>
    <xf numFmtId="2" fontId="31" fillId="0" borderId="14" xfId="2" applyNumberFormat="1" applyFont="1" applyBorder="1" applyAlignment="1">
      <alignment horizontal="center" vertical="center"/>
    </xf>
    <xf numFmtId="0" fontId="55" fillId="0" borderId="33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 wrapText="1"/>
    </xf>
    <xf numFmtId="0" fontId="55" fillId="0" borderId="32" xfId="0" applyFont="1" applyBorder="1" applyAlignment="1">
      <alignment horizontal="left" vertical="center" wrapText="1"/>
    </xf>
    <xf numFmtId="0" fontId="55" fillId="0" borderId="43" xfId="0" applyFont="1" applyBorder="1" applyAlignment="1">
      <alignment horizontal="left" vertical="center" wrapText="1"/>
    </xf>
    <xf numFmtId="0" fontId="55" fillId="0" borderId="29" xfId="0" applyFont="1" applyBorder="1" applyAlignment="1">
      <alignment horizontal="left" vertical="center" wrapText="1"/>
    </xf>
    <xf numFmtId="0" fontId="55" fillId="0" borderId="58" xfId="0" applyFont="1" applyBorder="1" applyAlignment="1">
      <alignment horizontal="left" vertical="center" wrapText="1"/>
    </xf>
    <xf numFmtId="0" fontId="55" fillId="0" borderId="44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5" fillId="0" borderId="1" xfId="0" applyFont="1" applyBorder="1" applyAlignment="1">
      <alignment horizontal="left" vertical="center" wrapText="1"/>
    </xf>
    <xf numFmtId="2" fontId="55" fillId="0" borderId="29" xfId="0" applyNumberFormat="1" applyFont="1" applyBorder="1" applyAlignment="1">
      <alignment horizontal="right" vertical="center"/>
    </xf>
    <xf numFmtId="2" fontId="55" fillId="0" borderId="0" xfId="0" applyNumberFormat="1" applyFont="1" applyAlignment="1">
      <alignment horizontal="right" vertical="center"/>
    </xf>
    <xf numFmtId="0" fontId="55" fillId="0" borderId="58" xfId="0" applyFont="1" applyBorder="1" applyAlignment="1">
      <alignment horizontal="left" vertical="center"/>
    </xf>
    <xf numFmtId="0" fontId="55" fillId="0" borderId="1" xfId="0" applyFont="1" applyBorder="1" applyAlignment="1">
      <alignment horizontal="left" vertical="center"/>
    </xf>
    <xf numFmtId="2" fontId="55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2" fontId="58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58" fillId="0" borderId="4" xfId="0" applyNumberFormat="1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2" fontId="31" fillId="0" borderId="2" xfId="0" applyNumberFormat="1" applyFont="1" applyBorder="1" applyAlignment="1">
      <alignment horizontal="left" vertical="center" wrapText="1"/>
    </xf>
    <xf numFmtId="2" fontId="59" fillId="0" borderId="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52" fillId="0" borderId="7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/>
    </xf>
    <xf numFmtId="2" fontId="58" fillId="0" borderId="43" xfId="0" applyNumberFormat="1" applyFont="1" applyBorder="1" applyAlignment="1">
      <alignment horizontal="left" vertical="center" wrapText="1"/>
    </xf>
    <xf numFmtId="2" fontId="58" fillId="0" borderId="29" xfId="0" applyNumberFormat="1" applyFont="1" applyBorder="1" applyAlignment="1">
      <alignment horizontal="left" vertical="center" wrapText="1"/>
    </xf>
    <xf numFmtId="2" fontId="58" fillId="0" borderId="58" xfId="0" applyNumberFormat="1" applyFont="1" applyBorder="1" applyAlignment="1">
      <alignment horizontal="left" vertical="center" wrapText="1"/>
    </xf>
    <xf numFmtId="2" fontId="58" fillId="0" borderId="33" xfId="0" applyNumberFormat="1" applyFont="1" applyBorder="1" applyAlignment="1">
      <alignment horizontal="left" vertical="center" wrapText="1"/>
    </xf>
    <xf numFmtId="2" fontId="58" fillId="0" borderId="31" xfId="0" applyNumberFormat="1" applyFont="1" applyBorder="1" applyAlignment="1">
      <alignment horizontal="left" vertical="center" wrapText="1"/>
    </xf>
    <xf numFmtId="2" fontId="58" fillId="0" borderId="32" xfId="0" applyNumberFormat="1" applyFont="1" applyBorder="1" applyAlignment="1">
      <alignment horizontal="left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2" fillId="0" borderId="2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49" fillId="0" borderId="0" xfId="0" applyFont="1" applyAlignment="1">
      <alignment horizontal="right" vertical="center"/>
    </xf>
    <xf numFmtId="0" fontId="60" fillId="0" borderId="0" xfId="0" applyFont="1" applyAlignment="1">
      <alignment horizontal="center"/>
    </xf>
    <xf numFmtId="0" fontId="51" fillId="0" borderId="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2" fontId="52" fillId="0" borderId="62" xfId="0" applyNumberFormat="1" applyFont="1" applyBorder="1" applyAlignment="1">
      <alignment horizontal="center" vertical="center"/>
    </xf>
    <xf numFmtId="2" fontId="52" fillId="0" borderId="63" xfId="0" applyNumberFormat="1" applyFont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</cellXfs>
  <cellStyles count="263">
    <cellStyle name="Dziesiętny" xfId="1" builtinId="3"/>
    <cellStyle name="Dziesiętny 10" xfId="87"/>
    <cellStyle name="Dziesiętny 2" xfId="2"/>
    <cellStyle name="Dziesiętny 2 2" xfId="10"/>
    <cellStyle name="Dziesiętny 2 3" xfId="88"/>
    <cellStyle name="Dziesiętny 2 3 2" xfId="252"/>
    <cellStyle name="Dziesiętny 2 4" xfId="244"/>
    <cellStyle name="Dziesiętny 3" xfId="12"/>
    <cellStyle name="Dziesiętny 3 2" xfId="16"/>
    <cellStyle name="Dziesiętny 3 2 2" xfId="22"/>
    <cellStyle name="Dziesiętny 3 2 2 2" xfId="41"/>
    <cellStyle name="Dziesiętny 3 2 2 2 2" xfId="117"/>
    <cellStyle name="Dziesiętny 3 2 2 2 3" xfId="185"/>
    <cellStyle name="Dziesiętny 3 2 2 3" xfId="57"/>
    <cellStyle name="Dziesiętny 3 2 2 3 2" xfId="133"/>
    <cellStyle name="Dziesiętny 3 2 2 3 3" xfId="201"/>
    <cellStyle name="Dziesiętny 3 2 2 4" xfId="101"/>
    <cellStyle name="Dziesiętny 3 2 2 5" xfId="169"/>
    <cellStyle name="Dziesiętny 3 2 3" xfId="35"/>
    <cellStyle name="Dziesiętny 3 2 3 2" xfId="111"/>
    <cellStyle name="Dziesiętny 3 2 3 3" xfId="179"/>
    <cellStyle name="Dziesiętny 3 2 4" xfId="51"/>
    <cellStyle name="Dziesiętny 3 2 4 2" xfId="127"/>
    <cellStyle name="Dziesiętny 3 2 4 3" xfId="195"/>
    <cellStyle name="Dziesiętny 3 2 5" xfId="95"/>
    <cellStyle name="Dziesiętny 3 2 6" xfId="163"/>
    <cellStyle name="Dziesiętny 3 3" xfId="19"/>
    <cellStyle name="Dziesiętny 3 3 2" xfId="38"/>
    <cellStyle name="Dziesiętny 3 3 2 2" xfId="114"/>
    <cellStyle name="Dziesiętny 3 3 2 3" xfId="182"/>
    <cellStyle name="Dziesiętny 3 3 3" xfId="54"/>
    <cellStyle name="Dziesiętny 3 3 3 2" xfId="130"/>
    <cellStyle name="Dziesiętny 3 3 3 3" xfId="198"/>
    <cellStyle name="Dziesiętny 3 3 4" xfId="98"/>
    <cellStyle name="Dziesiętny 3 3 5" xfId="166"/>
    <cellStyle name="Dziesiętny 3 4" xfId="25"/>
    <cellStyle name="Dziesiętny 3 4 2" xfId="240"/>
    <cellStyle name="Dziesiętny 3 4 3" xfId="256"/>
    <cellStyle name="Dziesiętny 3 4 4" xfId="228"/>
    <cellStyle name="Dziesiętny 3 5" xfId="32"/>
    <cellStyle name="Dziesiętny 3 5 2" xfId="108"/>
    <cellStyle name="Dziesiętny 3 5 3" xfId="176"/>
    <cellStyle name="Dziesiętny 3 6" xfId="48"/>
    <cellStyle name="Dziesiętny 3 6 2" xfId="124"/>
    <cellStyle name="Dziesiętny 3 6 3" xfId="192"/>
    <cellStyle name="Dziesiętny 3 7" xfId="72"/>
    <cellStyle name="Dziesiętny 3 7 2" xfId="146"/>
    <cellStyle name="Dziesiętny 3 7 3" xfId="214"/>
    <cellStyle name="Dziesiętny 3 8" xfId="92"/>
    <cellStyle name="Dziesiętny 3 9" xfId="160"/>
    <cellStyle name="Dziesiętny 4" xfId="27"/>
    <cellStyle name="Dziesiętny 4 2" xfId="43"/>
    <cellStyle name="Dziesiętny 4 2 2" xfId="119"/>
    <cellStyle name="Dziesiętny 4 2 2 2" xfId="234"/>
    <cellStyle name="Dziesiętny 4 2 3" xfId="187"/>
    <cellStyle name="Dziesiętny 4 3" xfId="59"/>
    <cellStyle name="Dziesiętny 4 3 2" xfId="135"/>
    <cellStyle name="Dziesiętny 4 3 3" xfId="203"/>
    <cellStyle name="Dziesiętny 4 4" xfId="103"/>
    <cellStyle name="Dziesiętny 4 4 2" xfId="248"/>
    <cellStyle name="Dziesiętny 4 5" xfId="171"/>
    <cellStyle name="Dziesiętny 5" xfId="29"/>
    <cellStyle name="Dziesiętny 5 2" xfId="45"/>
    <cellStyle name="Dziesiętny 5 2 2" xfId="121"/>
    <cellStyle name="Dziesiętny 5 2 2 2" xfId="260"/>
    <cellStyle name="Dziesiętny 5 2 3" xfId="189"/>
    <cellStyle name="Dziesiętny 5 3" xfId="61"/>
    <cellStyle name="Dziesiętny 5 3 2" xfId="137"/>
    <cellStyle name="Dziesiętny 5 3 3" xfId="205"/>
    <cellStyle name="Dziesiętny 5 4" xfId="105"/>
    <cellStyle name="Dziesiętny 5 5" xfId="173"/>
    <cellStyle name="Dziesiętny 6" xfId="63"/>
    <cellStyle name="Dziesiętny 6 2" xfId="139"/>
    <cellStyle name="Dziesiętny 6 3" xfId="207"/>
    <cellStyle name="Dziesiętny 6 4" xfId="243"/>
    <cellStyle name="Dziesiętny 7" xfId="65"/>
    <cellStyle name="Dziesiętny 7 2" xfId="141"/>
    <cellStyle name="Dziesiętny 7 3" xfId="209"/>
    <cellStyle name="Dziesiętny 8" xfId="67"/>
    <cellStyle name="Dziesiętny 8 2" xfId="143"/>
    <cellStyle name="Dziesiętny 8 3" xfId="211"/>
    <cellStyle name="Dziesiętny 9" xfId="71"/>
    <cellStyle name="Dziesiętny 9 2" xfId="145"/>
    <cellStyle name="Dziesiętny 9 3" xfId="213"/>
    <cellStyle name="Normalny" xfId="0" builtinId="0"/>
    <cellStyle name="Normalny 10" xfId="64"/>
    <cellStyle name="Normalny 10 2" xfId="140"/>
    <cellStyle name="Normalny 10 3" xfId="208"/>
    <cellStyle name="Normalny 11" xfId="66"/>
    <cellStyle name="Normalny 11 2" xfId="142"/>
    <cellStyle name="Normalny 11 3" xfId="210"/>
    <cellStyle name="Normalny 12" xfId="70"/>
    <cellStyle name="Normalny 12 2" xfId="144"/>
    <cellStyle name="Normalny 12 3" xfId="212"/>
    <cellStyle name="Normalny 13" xfId="86"/>
    <cellStyle name="Normalny 2" xfId="3"/>
    <cellStyle name="Normalny 2 2" xfId="24"/>
    <cellStyle name="Normalny 2 2 2" xfId="69"/>
    <cellStyle name="Normalny 2 2 3" xfId="73"/>
    <cellStyle name="Normalny 2 3" xfId="68"/>
    <cellStyle name="Normalny 3" xfId="8"/>
    <cellStyle name="Normalny 3 10" xfId="158"/>
    <cellStyle name="Normalny 3 10 2" xfId="251"/>
    <cellStyle name="Normalny 3 2" xfId="14"/>
    <cellStyle name="Normalny 3 2 2" xfId="20"/>
    <cellStyle name="Normalny 3 2 2 2" xfId="39"/>
    <cellStyle name="Normalny 3 2 2 2 2" xfId="77"/>
    <cellStyle name="Normalny 3 2 2 2 2 2" xfId="150"/>
    <cellStyle name="Normalny 3 2 2 2 2 3" xfId="218"/>
    <cellStyle name="Normalny 3 2 2 2 3" xfId="115"/>
    <cellStyle name="Normalny 3 2 2 2 3 2" xfId="253"/>
    <cellStyle name="Normalny 3 2 2 2 4" xfId="183"/>
    <cellStyle name="Normalny 3 2 2 3" xfId="55"/>
    <cellStyle name="Normalny 3 2 2 3 2" xfId="131"/>
    <cellStyle name="Normalny 3 2 2 3 2 2" xfId="257"/>
    <cellStyle name="Normalny 3 2 2 3 3" xfId="199"/>
    <cellStyle name="Normalny 3 2 2 4" xfId="76"/>
    <cellStyle name="Normalny 3 2 2 4 2" xfId="149"/>
    <cellStyle name="Normalny 3 2 2 4 3" xfId="217"/>
    <cellStyle name="Normalny 3 2 2 5" xfId="99"/>
    <cellStyle name="Normalny 3 2 2 6" xfId="167"/>
    <cellStyle name="Normalny 3 2 3" xfId="33"/>
    <cellStyle name="Normalny 3 2 3 2" xfId="78"/>
    <cellStyle name="Normalny 3 2 3 2 2" xfId="151"/>
    <cellStyle name="Normalny 3 2 3 2 2 2" xfId="237"/>
    <cellStyle name="Normalny 3 2 3 2 3" xfId="219"/>
    <cellStyle name="Normalny 3 2 3 3" xfId="109"/>
    <cellStyle name="Normalny 3 2 3 3 2" xfId="230"/>
    <cellStyle name="Normalny 3 2 3 4" xfId="177"/>
    <cellStyle name="Normalny 3 2 4" xfId="49"/>
    <cellStyle name="Normalny 3 2 4 2" xfId="125"/>
    <cellStyle name="Normalny 3 2 4 2 2" xfId="235"/>
    <cellStyle name="Normalny 3 2 4 3" xfId="193"/>
    <cellStyle name="Normalny 3 2 5" xfId="75"/>
    <cellStyle name="Normalny 3 2 5 2" xfId="148"/>
    <cellStyle name="Normalny 3 2 5 3" xfId="216"/>
    <cellStyle name="Normalny 3 2 6" xfId="93"/>
    <cellStyle name="Normalny 3 2 6 2" xfId="249"/>
    <cellStyle name="Normalny 3 2 7" xfId="161"/>
    <cellStyle name="Normalny 3 3" xfId="17"/>
    <cellStyle name="Normalny 3 3 2" xfId="36"/>
    <cellStyle name="Normalny 3 3 2 2" xfId="80"/>
    <cellStyle name="Normalny 3 3 2 2 2" xfId="153"/>
    <cellStyle name="Normalny 3 3 2 2 2 2" xfId="238"/>
    <cellStyle name="Normalny 3 3 2 2 3" xfId="221"/>
    <cellStyle name="Normalny 3 3 2 3" xfId="112"/>
    <cellStyle name="Normalny 3 3 2 3 2" xfId="231"/>
    <cellStyle name="Normalny 3 3 2 4" xfId="180"/>
    <cellStyle name="Normalny 3 3 3" xfId="52"/>
    <cellStyle name="Normalny 3 3 3 2" xfId="128"/>
    <cellStyle name="Normalny 3 3 3 3" xfId="196"/>
    <cellStyle name="Normalny 3 3 3 4" xfId="255"/>
    <cellStyle name="Normalny 3 3 4" xfId="79"/>
    <cellStyle name="Normalny 3 3 4 2" xfId="152"/>
    <cellStyle name="Normalny 3 3 4 3" xfId="220"/>
    <cellStyle name="Normalny 3 3 5" xfId="96"/>
    <cellStyle name="Normalny 3 3 6" xfId="164"/>
    <cellStyle name="Normalny 3 3 7" xfId="227"/>
    <cellStyle name="Normalny 3 4" xfId="23"/>
    <cellStyle name="Normalny 3 4 2" xfId="82"/>
    <cellStyle name="Normalny 3 4 2 2" xfId="155"/>
    <cellStyle name="Normalny 3 4 2 2 2" xfId="239"/>
    <cellStyle name="Normalny 3 4 2 3" xfId="223"/>
    <cellStyle name="Normalny 3 4 3" xfId="81"/>
    <cellStyle name="Normalny 3 4 3 2" xfId="154"/>
    <cellStyle name="Normalny 3 4 3 2 2" xfId="258"/>
    <cellStyle name="Normalny 3 4 3 3" xfId="222"/>
    <cellStyle name="Normalny 3 4 4" xfId="250"/>
    <cellStyle name="Normalny 3 5" xfId="30"/>
    <cellStyle name="Normalny 3 5 2" xfId="83"/>
    <cellStyle name="Normalny 3 5 2 2" xfId="156"/>
    <cellStyle name="Normalny 3 5 2 2 2" xfId="236"/>
    <cellStyle name="Normalny 3 5 2 3" xfId="224"/>
    <cellStyle name="Normalny 3 5 3" xfId="106"/>
    <cellStyle name="Normalny 3 5 3 2" xfId="229"/>
    <cellStyle name="Normalny 3 5 4" xfId="174"/>
    <cellStyle name="Normalny 3 6" xfId="46"/>
    <cellStyle name="Normalny 3 6 2" xfId="122"/>
    <cellStyle name="Normalny 3 6 2 2" xfId="261"/>
    <cellStyle name="Normalny 3 6 2 3" xfId="232"/>
    <cellStyle name="Normalny 3 6 3" xfId="190"/>
    <cellStyle name="Normalny 3 7" xfId="74"/>
    <cellStyle name="Normalny 3 7 2" xfId="147"/>
    <cellStyle name="Normalny 3 7 2 2" xfId="241"/>
    <cellStyle name="Normalny 3 7 3" xfId="215"/>
    <cellStyle name="Normalny 3 8" xfId="89"/>
    <cellStyle name="Normalny 3 8 2" xfId="226"/>
    <cellStyle name="Normalny 3 9" xfId="90"/>
    <cellStyle name="Normalny 3 9 2" xfId="246"/>
    <cellStyle name="Normalny 4" xfId="9"/>
    <cellStyle name="Normalny 4 2" xfId="15"/>
    <cellStyle name="Normalny 4 2 2" xfId="21"/>
    <cellStyle name="Normalny 4 2 2 2" xfId="40"/>
    <cellStyle name="Normalny 4 2 2 2 2" xfId="116"/>
    <cellStyle name="Normalny 4 2 2 2 3" xfId="184"/>
    <cellStyle name="Normalny 4 2 2 3" xfId="56"/>
    <cellStyle name="Normalny 4 2 2 3 2" xfId="132"/>
    <cellStyle name="Normalny 4 2 2 3 3" xfId="200"/>
    <cellStyle name="Normalny 4 2 2 4" xfId="100"/>
    <cellStyle name="Normalny 4 2 2 5" xfId="168"/>
    <cellStyle name="Normalny 4 2 3" xfId="34"/>
    <cellStyle name="Normalny 4 2 3 2" xfId="110"/>
    <cellStyle name="Normalny 4 2 3 3" xfId="178"/>
    <cellStyle name="Normalny 4 2 4" xfId="50"/>
    <cellStyle name="Normalny 4 2 4 2" xfId="126"/>
    <cellStyle name="Normalny 4 2 4 3" xfId="194"/>
    <cellStyle name="Normalny 4 2 5" xfId="94"/>
    <cellStyle name="Normalny 4 2 6" xfId="162"/>
    <cellStyle name="Normalny 4 3" xfId="18"/>
    <cellStyle name="Normalny 4 3 2" xfId="37"/>
    <cellStyle name="Normalny 4 3 2 2" xfId="113"/>
    <cellStyle name="Normalny 4 3 2 3" xfId="181"/>
    <cellStyle name="Normalny 4 3 3" xfId="53"/>
    <cellStyle name="Normalny 4 3 3 2" xfId="129"/>
    <cellStyle name="Normalny 4 3 3 3" xfId="197"/>
    <cellStyle name="Normalny 4 3 4" xfId="97"/>
    <cellStyle name="Normalny 4 3 5" xfId="165"/>
    <cellStyle name="Normalny 4 4" xfId="31"/>
    <cellStyle name="Normalny 4 4 2" xfId="107"/>
    <cellStyle name="Normalny 4 4 2 2" xfId="242"/>
    <cellStyle name="Normalny 4 4 3" xfId="175"/>
    <cellStyle name="Normalny 4 5" xfId="47"/>
    <cellStyle name="Normalny 4 5 2" xfId="123"/>
    <cellStyle name="Normalny 4 5 3" xfId="191"/>
    <cellStyle name="Normalny 4 6" xfId="84"/>
    <cellStyle name="Normalny 4 6 2" xfId="157"/>
    <cellStyle name="Normalny 4 6 3" xfId="225"/>
    <cellStyle name="Normalny 4 7" xfId="91"/>
    <cellStyle name="Normalny 4 8" xfId="159"/>
    <cellStyle name="Normalny 5" xfId="11"/>
    <cellStyle name="Normalny 6" xfId="13"/>
    <cellStyle name="Normalny 7" xfId="26"/>
    <cellStyle name="Normalny 7 2" xfId="42"/>
    <cellStyle name="Normalny 7 2 2" xfId="118"/>
    <cellStyle name="Normalny 7 2 2 2" xfId="233"/>
    <cellStyle name="Normalny 7 2 3" xfId="186"/>
    <cellStyle name="Normalny 7 3" xfId="58"/>
    <cellStyle name="Normalny 7 3 2" xfId="134"/>
    <cellStyle name="Normalny 7 3 3" xfId="202"/>
    <cellStyle name="Normalny 7 4" xfId="102"/>
    <cellStyle name="Normalny 7 4 2" xfId="247"/>
    <cellStyle name="Normalny 7 5" xfId="170"/>
    <cellStyle name="Normalny 7 6" xfId="262"/>
    <cellStyle name="Normalny 8" xfId="28"/>
    <cellStyle name="Normalny 8 2" xfId="44"/>
    <cellStyle name="Normalny 8 2 2" xfId="120"/>
    <cellStyle name="Normalny 8 2 2 2" xfId="259"/>
    <cellStyle name="Normalny 8 2 3" xfId="188"/>
    <cellStyle name="Normalny 8 3" xfId="60"/>
    <cellStyle name="Normalny 8 3 2" xfId="136"/>
    <cellStyle name="Normalny 8 3 3" xfId="204"/>
    <cellStyle name="Normalny 8 4" xfId="104"/>
    <cellStyle name="Normalny 8 5" xfId="172"/>
    <cellStyle name="Normalny 9" xfId="62"/>
    <cellStyle name="Normalny 9 2" xfId="138"/>
    <cellStyle name="Normalny 9 3" xfId="206"/>
    <cellStyle name="Normalny 9 4" xfId="245"/>
    <cellStyle name="Normalny_Arkusz1" xfId="4"/>
    <cellStyle name="Normalny_Tabela zbiorcza cz.1 (0030-0035)" xfId="5"/>
    <cellStyle name="Normalny_Wzór tabeli" xfId="6"/>
    <cellStyle name="Normalny_Wzór tabeli 2" xfId="7"/>
    <cellStyle name="Procentowy 2" xfId="254"/>
    <cellStyle name="TerespolD" xfId="85"/>
  </cellStyles>
  <dxfs count="0"/>
  <tableStyles count="0" defaultTableStyle="TableStyleMedium9" defaultPivotStyle="PivotStyleLight16"/>
  <colors>
    <mruColors>
      <color rgb="FFD56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jekty%202012r\14_Kosztorys%20chodnik%20Brzezowka\1_KI_KO_PR_Brzezow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"/>
      <sheetName val="Przedmiar"/>
      <sheetName val="ofertowy"/>
      <sheetName val="KO1"/>
      <sheetName val="KO2"/>
      <sheetName val="KO3"/>
      <sheetName val="KI1"/>
      <sheetName val="KI2"/>
      <sheetName val="KI3"/>
      <sheetName val="KI4"/>
      <sheetName val="PR1"/>
      <sheetName val="PR2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J25"/>
  <sheetViews>
    <sheetView zoomScaleNormal="100" zoomScaleSheetLayoutView="100" workbookViewId="0">
      <selection activeCell="A2" sqref="A2:K2"/>
    </sheetView>
  </sheetViews>
  <sheetFormatPr defaultRowHeight="12.75"/>
  <cols>
    <col min="1" max="1" width="14.5703125" customWidth="1"/>
    <col min="2" max="2" width="15.140625" customWidth="1"/>
    <col min="4" max="4" width="60.28515625" customWidth="1"/>
    <col min="5" max="5" width="20.7109375" customWidth="1"/>
  </cols>
  <sheetData>
    <row r="1" spans="1:5"/>
    <row r="2" spans="1:5" ht="13.5" thickBot="1"/>
    <row r="3" spans="1:5" ht="18.75" customHeight="1" thickBot="1">
      <c r="A3" s="715" t="s">
        <v>42</v>
      </c>
      <c r="B3" s="716"/>
      <c r="C3" s="716"/>
      <c r="D3" s="716"/>
      <c r="E3" s="717"/>
    </row>
    <row r="4" spans="1:5" ht="18.75">
      <c r="B4" s="718"/>
      <c r="C4" s="718"/>
      <c r="D4" s="718"/>
      <c r="E4" s="718"/>
    </row>
    <row r="5" spans="1:5" ht="97.5" customHeight="1">
      <c r="A5" s="50" t="s">
        <v>39</v>
      </c>
      <c r="B5" s="719" t="e">
        <f>#REF!</f>
        <v>#REF!</v>
      </c>
      <c r="C5" s="719"/>
      <c r="D5" s="719"/>
      <c r="E5" s="719"/>
    </row>
    <row r="6" spans="1:5" ht="19.5" thickBot="1">
      <c r="B6" s="718"/>
      <c r="C6" s="718"/>
      <c r="D6" s="718"/>
      <c r="E6" s="718"/>
    </row>
    <row r="7" spans="1:5" ht="37.5" customHeight="1">
      <c r="A7" s="51" t="s">
        <v>82</v>
      </c>
      <c r="B7" s="52" t="s">
        <v>43</v>
      </c>
      <c r="C7" s="720" t="s">
        <v>44</v>
      </c>
      <c r="D7" s="721"/>
      <c r="E7" s="132" t="s">
        <v>45</v>
      </c>
    </row>
    <row r="8" spans="1:5" ht="27.75" customHeight="1">
      <c r="A8" s="53" t="s">
        <v>34</v>
      </c>
      <c r="B8" s="33" t="s">
        <v>33</v>
      </c>
      <c r="C8" s="703" t="s">
        <v>127</v>
      </c>
      <c r="D8" s="704"/>
      <c r="E8" s="133" t="s">
        <v>34</v>
      </c>
    </row>
    <row r="9" spans="1:5" ht="33" customHeight="1">
      <c r="A9" s="54" t="s">
        <v>83</v>
      </c>
      <c r="B9" s="34" t="s">
        <v>54</v>
      </c>
      <c r="C9" s="707" t="s">
        <v>46</v>
      </c>
      <c r="D9" s="708"/>
      <c r="E9" s="134"/>
    </row>
    <row r="10" spans="1:5" ht="24" customHeight="1">
      <c r="A10" s="698" t="s">
        <v>223</v>
      </c>
      <c r="B10" s="699"/>
      <c r="C10" s="699"/>
      <c r="D10" s="700"/>
      <c r="E10" s="137"/>
    </row>
    <row r="11" spans="1:5" ht="27.75" customHeight="1">
      <c r="A11" s="53" t="s">
        <v>34</v>
      </c>
      <c r="B11" s="33" t="s">
        <v>37</v>
      </c>
      <c r="C11" s="703" t="s">
        <v>201</v>
      </c>
      <c r="D11" s="704"/>
      <c r="E11" s="133" t="s">
        <v>34</v>
      </c>
    </row>
    <row r="12" spans="1:5" ht="15">
      <c r="A12" s="54" t="s">
        <v>84</v>
      </c>
      <c r="B12" s="34" t="s">
        <v>56</v>
      </c>
      <c r="C12" s="696" t="s">
        <v>47</v>
      </c>
      <c r="D12" s="697"/>
      <c r="E12" s="134"/>
    </row>
    <row r="13" spans="1:5" ht="15">
      <c r="A13" s="54" t="s">
        <v>85</v>
      </c>
      <c r="B13" s="34" t="s">
        <v>58</v>
      </c>
      <c r="C13" s="697" t="s">
        <v>75</v>
      </c>
      <c r="D13" s="709"/>
      <c r="E13" s="134"/>
    </row>
    <row r="14" spans="1:5" ht="18" customHeight="1">
      <c r="A14" s="54" t="s">
        <v>86</v>
      </c>
      <c r="B14" s="34" t="s">
        <v>48</v>
      </c>
      <c r="C14" s="697" t="s">
        <v>96</v>
      </c>
      <c r="D14" s="709"/>
      <c r="E14" s="134"/>
    </row>
    <row r="15" spans="1:5" ht="15">
      <c r="A15" s="54" t="s">
        <v>87</v>
      </c>
      <c r="B15" s="34" t="s">
        <v>49</v>
      </c>
      <c r="C15" s="697" t="s">
        <v>50</v>
      </c>
      <c r="D15" s="709"/>
      <c r="E15" s="134"/>
    </row>
    <row r="16" spans="1:5" ht="15">
      <c r="A16" s="54" t="s">
        <v>88</v>
      </c>
      <c r="B16" s="34" t="s">
        <v>61</v>
      </c>
      <c r="C16" s="710" t="s">
        <v>51</v>
      </c>
      <c r="D16" s="711"/>
      <c r="E16" s="134"/>
    </row>
    <row r="17" spans="1:10" ht="15">
      <c r="A17" s="54" t="s">
        <v>89</v>
      </c>
      <c r="B17" s="34" t="s">
        <v>63</v>
      </c>
      <c r="C17" s="710" t="s">
        <v>52</v>
      </c>
      <c r="D17" s="711"/>
      <c r="E17" s="134"/>
    </row>
    <row r="18" spans="1:10" ht="31.5" customHeight="1">
      <c r="A18" s="54" t="s">
        <v>97</v>
      </c>
      <c r="B18" s="34" t="s">
        <v>93</v>
      </c>
      <c r="C18" s="711" t="s">
        <v>124</v>
      </c>
      <c r="D18" s="712"/>
      <c r="E18" s="134"/>
    </row>
    <row r="19" spans="1:10" ht="16.5" customHeight="1" thickBot="1">
      <c r="A19" s="130" t="s">
        <v>125</v>
      </c>
      <c r="B19" s="131" t="s">
        <v>33</v>
      </c>
      <c r="C19" s="713" t="s">
        <v>53</v>
      </c>
      <c r="D19" s="714"/>
      <c r="E19" s="135"/>
    </row>
    <row r="20" spans="1:10" ht="32.25" hidden="1" customHeight="1">
      <c r="A20" s="128" t="s">
        <v>34</v>
      </c>
      <c r="B20" s="129" t="s">
        <v>126</v>
      </c>
      <c r="C20" s="705" t="s">
        <v>186</v>
      </c>
      <c r="D20" s="706"/>
      <c r="E20" s="136" t="s">
        <v>34</v>
      </c>
    </row>
    <row r="21" spans="1:10" ht="25.5" hidden="1" customHeight="1">
      <c r="A21" s="54" t="s">
        <v>187</v>
      </c>
      <c r="B21" s="34" t="s">
        <v>188</v>
      </c>
      <c r="C21" s="696" t="s">
        <v>198</v>
      </c>
      <c r="D21" s="697"/>
      <c r="E21" s="134">
        <v>0</v>
      </c>
    </row>
    <row r="22" spans="1:10" ht="25.5" customHeight="1">
      <c r="A22" s="698" t="s">
        <v>224</v>
      </c>
      <c r="B22" s="699"/>
      <c r="C22" s="699"/>
      <c r="D22" s="700"/>
      <c r="E22" s="137"/>
      <c r="J22" s="139"/>
    </row>
    <row r="23" spans="1:10" ht="23.25" customHeight="1">
      <c r="A23" s="698" t="s">
        <v>225</v>
      </c>
      <c r="B23" s="699"/>
      <c r="C23" s="699"/>
      <c r="D23" s="699"/>
      <c r="E23" s="137"/>
    </row>
    <row r="24" spans="1:10" ht="23.25" customHeight="1">
      <c r="A24" s="698" t="s">
        <v>76</v>
      </c>
      <c r="B24" s="699"/>
      <c r="C24" s="699"/>
      <c r="D24" s="699"/>
      <c r="E24" s="137"/>
    </row>
    <row r="25" spans="1:10" ht="23.25" customHeight="1" thickBot="1">
      <c r="A25" s="701" t="s">
        <v>90</v>
      </c>
      <c r="B25" s="702"/>
      <c r="C25" s="702"/>
      <c r="D25" s="702"/>
      <c r="E25" s="138"/>
    </row>
  </sheetData>
  <mergeCells count="23">
    <mergeCell ref="A3:E3"/>
    <mergeCell ref="B4:E4"/>
    <mergeCell ref="B5:E5"/>
    <mergeCell ref="B6:E6"/>
    <mergeCell ref="C7:D7"/>
    <mergeCell ref="C8:D8"/>
    <mergeCell ref="C20:D20"/>
    <mergeCell ref="C9:D9"/>
    <mergeCell ref="A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1:D21"/>
    <mergeCell ref="A22:D22"/>
    <mergeCell ref="A23:D23"/>
    <mergeCell ref="A24:D24"/>
    <mergeCell ref="A25:D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horizontalDpi="4294967294" verticalDpi="4294967294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6"/>
  <sheetViews>
    <sheetView view="pageBreakPreview" zoomScaleNormal="100" zoomScaleSheetLayoutView="100" workbookViewId="0">
      <selection activeCell="A2" sqref="A2:J2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44" t="s">
        <v>1084</v>
      </c>
      <c r="B1" s="744"/>
      <c r="C1" s="744"/>
      <c r="D1" s="744"/>
      <c r="E1" s="744"/>
      <c r="F1" s="744"/>
      <c r="G1" s="744"/>
      <c r="H1" s="744"/>
      <c r="I1" s="744"/>
      <c r="J1" s="744"/>
    </row>
    <row r="2" spans="1:18" s="4" customFormat="1" ht="39" customHeight="1">
      <c r="A2" s="760" t="s">
        <v>1034</v>
      </c>
      <c r="B2" s="760"/>
      <c r="C2" s="760"/>
      <c r="D2" s="760"/>
      <c r="E2" s="760"/>
      <c r="F2" s="760"/>
      <c r="G2" s="760"/>
      <c r="H2" s="760"/>
      <c r="I2" s="760"/>
      <c r="J2" s="760"/>
    </row>
    <row r="3" spans="1:18" ht="45" customHeight="1">
      <c r="A3" s="74" t="s">
        <v>3</v>
      </c>
      <c r="B3" s="449" t="s">
        <v>199</v>
      </c>
      <c r="C3" s="755" t="s">
        <v>4</v>
      </c>
      <c r="D3" s="755"/>
      <c r="E3" s="755"/>
      <c r="F3" s="755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61" t="s">
        <v>1006</v>
      </c>
      <c r="C4" s="761"/>
      <c r="D4" s="761"/>
      <c r="E4" s="761"/>
      <c r="F4" s="761"/>
      <c r="G4" s="761"/>
      <c r="H4" s="761"/>
      <c r="I4" s="761"/>
      <c r="J4" s="761"/>
      <c r="M4" s="40" t="s">
        <v>1032</v>
      </c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  <c r="M5" s="1">
        <v>90</v>
      </c>
    </row>
    <row r="6" spans="1:18" ht="44.25" hidden="1" customHeight="1">
      <c r="A6" s="755"/>
      <c r="B6" s="756"/>
      <c r="C6" s="757" t="s">
        <v>733</v>
      </c>
      <c r="D6" s="757"/>
      <c r="E6" s="757"/>
      <c r="F6" s="757"/>
      <c r="G6" s="758" t="s">
        <v>177</v>
      </c>
      <c r="H6" s="759" t="s">
        <v>34</v>
      </c>
      <c r="I6" s="377"/>
      <c r="J6" s="521"/>
    </row>
    <row r="7" spans="1:18" ht="21.75" hidden="1" customHeight="1">
      <c r="A7" s="755"/>
      <c r="B7" s="756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58"/>
      <c r="H7" s="759"/>
      <c r="I7" s="377"/>
      <c r="J7" s="521"/>
    </row>
    <row r="8" spans="1:18" ht="18" customHeight="1">
      <c r="A8" s="64" t="s">
        <v>34</v>
      </c>
      <c r="B8" s="571" t="s">
        <v>14</v>
      </c>
      <c r="C8" s="736" t="s">
        <v>108</v>
      </c>
      <c r="D8" s="736"/>
      <c r="E8" s="736"/>
      <c r="F8" s="736"/>
      <c r="G8" s="736"/>
      <c r="H8" s="736"/>
      <c r="I8" s="736"/>
      <c r="J8" s="736"/>
    </row>
    <row r="9" spans="1:18" s="14" customFormat="1" ht="31.5" customHeight="1">
      <c r="A9" s="74">
        <v>1</v>
      </c>
      <c r="B9" s="449" t="s">
        <v>952</v>
      </c>
      <c r="C9" s="762" t="s">
        <v>1018</v>
      </c>
      <c r="D9" s="762"/>
      <c r="E9" s="762"/>
      <c r="F9" s="762"/>
      <c r="G9" s="74" t="s">
        <v>176</v>
      </c>
      <c r="H9" s="78">
        <f>M5*1</f>
        <v>90</v>
      </c>
      <c r="I9" s="78"/>
      <c r="J9" s="662"/>
    </row>
    <row r="10" spans="1:18" ht="54" hidden="1" customHeight="1">
      <c r="A10" s="755"/>
      <c r="B10" s="763"/>
      <c r="C10" s="764" t="s">
        <v>969</v>
      </c>
      <c r="D10" s="764"/>
      <c r="E10" s="764"/>
      <c r="F10" s="764"/>
      <c r="G10" s="758" t="s">
        <v>177</v>
      </c>
      <c r="H10" s="765" t="s">
        <v>34</v>
      </c>
      <c r="I10" s="377"/>
      <c r="J10" s="521"/>
    </row>
    <row r="11" spans="1:18" ht="21" hidden="1" customHeight="1">
      <c r="A11" s="755"/>
      <c r="B11" s="763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58"/>
      <c r="H11" s="765"/>
      <c r="I11" s="377"/>
      <c r="J11" s="521"/>
    </row>
    <row r="12" spans="1:18" ht="17.25" customHeight="1">
      <c r="A12" s="64" t="s">
        <v>34</v>
      </c>
      <c r="B12" s="571" t="s">
        <v>15</v>
      </c>
      <c r="C12" s="736" t="s">
        <v>10</v>
      </c>
      <c r="D12" s="736"/>
      <c r="E12" s="736"/>
      <c r="F12" s="736"/>
      <c r="G12" s="736"/>
      <c r="H12" s="736"/>
      <c r="I12" s="736"/>
      <c r="J12" s="736"/>
      <c r="R12" s="40">
        <v>13</v>
      </c>
    </row>
    <row r="13" spans="1:18" ht="50.25" customHeight="1">
      <c r="A13" s="74">
        <v>2</v>
      </c>
      <c r="B13" s="66" t="s">
        <v>109</v>
      </c>
      <c r="C13" s="762" t="s">
        <v>1020</v>
      </c>
      <c r="D13" s="762"/>
      <c r="E13" s="762"/>
      <c r="F13" s="762"/>
      <c r="G13" s="74" t="s">
        <v>176</v>
      </c>
      <c r="H13" s="78">
        <f>2.2*M5</f>
        <v>198</v>
      </c>
      <c r="I13" s="78"/>
      <c r="J13" s="662"/>
    </row>
    <row r="14" spans="1:18" ht="25.5" hidden="1" customHeight="1">
      <c r="A14" s="786"/>
      <c r="B14" s="787"/>
      <c r="C14" s="788" t="s">
        <v>974</v>
      </c>
      <c r="D14" s="788"/>
      <c r="E14" s="788"/>
      <c r="F14" s="788"/>
      <c r="G14" s="789" t="s">
        <v>920</v>
      </c>
      <c r="H14" s="790" t="s">
        <v>34</v>
      </c>
      <c r="I14" s="377"/>
      <c r="J14" s="521"/>
      <c r="M14" s="784"/>
      <c r="N14" s="784"/>
      <c r="O14" s="784"/>
      <c r="P14" s="784"/>
    </row>
    <row r="15" spans="1:18" ht="20.25" hidden="1" customHeight="1">
      <c r="A15" s="786"/>
      <c r="B15" s="787"/>
      <c r="C15" s="645" t="s">
        <v>713</v>
      </c>
      <c r="D15" s="652" t="e">
        <f>#REF!</f>
        <v>#REF!</v>
      </c>
      <c r="E15" s="290" t="s">
        <v>708</v>
      </c>
      <c r="F15" s="652" t="s">
        <v>718</v>
      </c>
      <c r="G15" s="789"/>
      <c r="H15" s="790"/>
      <c r="I15" s="377"/>
      <c r="J15" s="521"/>
    </row>
    <row r="16" spans="1:18" ht="36.75" customHeight="1">
      <c r="A16" s="74">
        <v>3</v>
      </c>
      <c r="B16" s="641" t="s">
        <v>31</v>
      </c>
      <c r="C16" s="785" t="s">
        <v>1019</v>
      </c>
      <c r="D16" s="785"/>
      <c r="E16" s="785"/>
      <c r="F16" s="785"/>
      <c r="G16" s="74" t="s">
        <v>176</v>
      </c>
      <c r="H16" s="78">
        <v>16</v>
      </c>
      <c r="I16" s="78"/>
      <c r="J16" s="662"/>
    </row>
    <row r="17" spans="1:106" ht="32.25" customHeight="1">
      <c r="A17" s="21"/>
      <c r="B17" s="448" t="s">
        <v>111</v>
      </c>
      <c r="C17" s="737" t="s">
        <v>189</v>
      </c>
      <c r="D17" s="737"/>
      <c r="E17" s="737"/>
      <c r="F17" s="737"/>
      <c r="G17" s="737"/>
      <c r="H17" s="737"/>
      <c r="I17" s="737"/>
      <c r="J17" s="737"/>
    </row>
    <row r="18" spans="1:106" s="15" customFormat="1" ht="21" customHeight="1">
      <c r="A18" s="64" t="s">
        <v>34</v>
      </c>
      <c r="B18" s="571" t="s">
        <v>142</v>
      </c>
      <c r="C18" s="736" t="s">
        <v>147</v>
      </c>
      <c r="D18" s="736"/>
      <c r="E18" s="736"/>
      <c r="F18" s="736"/>
      <c r="G18" s="736"/>
      <c r="H18" s="736"/>
      <c r="I18" s="736"/>
      <c r="J18" s="736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</row>
    <row r="19" spans="1:106" s="15" customFormat="1" ht="37.5" customHeight="1">
      <c r="A19" s="74">
        <v>4</v>
      </c>
      <c r="B19" s="572" t="s">
        <v>143</v>
      </c>
      <c r="C19" s="768" t="s">
        <v>1046</v>
      </c>
      <c r="D19" s="768"/>
      <c r="E19" s="768"/>
      <c r="F19" s="768"/>
      <c r="G19" s="74" t="s">
        <v>179</v>
      </c>
      <c r="H19" s="78">
        <f>M5*0.7</f>
        <v>63</v>
      </c>
      <c r="I19" s="78"/>
      <c r="J19" s="662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54" hidden="1" customHeight="1">
      <c r="A20" s="755"/>
      <c r="B20" s="766"/>
      <c r="C20" s="764" t="s">
        <v>978</v>
      </c>
      <c r="D20" s="764"/>
      <c r="E20" s="764"/>
      <c r="F20" s="764"/>
      <c r="G20" s="758" t="s">
        <v>178</v>
      </c>
      <c r="H20" s="767" t="s">
        <v>34</v>
      </c>
      <c r="I20" s="632"/>
      <c r="J20" s="66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15" customFormat="1" ht="18" hidden="1" customHeight="1">
      <c r="A21" s="755"/>
      <c r="B21" s="766"/>
      <c r="C21" s="672" t="s">
        <v>714</v>
      </c>
      <c r="D21" s="67" t="e">
        <f>#REF!</f>
        <v>#REF!</v>
      </c>
      <c r="E21" s="109" t="str">
        <f>G20</f>
        <v>m3</v>
      </c>
      <c r="F21" s="67" t="s">
        <v>716</v>
      </c>
      <c r="G21" s="758"/>
      <c r="H21" s="767"/>
      <c r="I21" s="632"/>
      <c r="J21" s="66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</row>
    <row r="22" spans="1:106" s="3" customFormat="1" ht="31.5" customHeight="1">
      <c r="A22" s="21"/>
      <c r="B22" s="448" t="s">
        <v>57</v>
      </c>
      <c r="C22" s="737" t="s">
        <v>181</v>
      </c>
      <c r="D22" s="737"/>
      <c r="E22" s="737"/>
      <c r="F22" s="737"/>
      <c r="G22" s="737"/>
      <c r="H22" s="737"/>
      <c r="I22" s="737"/>
      <c r="J22" s="737"/>
    </row>
    <row r="23" spans="1:106" s="1" customFormat="1" ht="18" customHeight="1">
      <c r="A23" s="64" t="s">
        <v>34</v>
      </c>
      <c r="B23" s="571" t="s">
        <v>98</v>
      </c>
      <c r="C23" s="736" t="s">
        <v>99</v>
      </c>
      <c r="D23" s="736"/>
      <c r="E23" s="736"/>
      <c r="F23" s="736"/>
      <c r="G23" s="736"/>
      <c r="H23" s="736"/>
      <c r="I23" s="736"/>
      <c r="J23" s="736"/>
    </row>
    <row r="24" spans="1:106" s="1" customFormat="1" ht="33" customHeight="1">
      <c r="A24" s="86">
        <v>5</v>
      </c>
      <c r="B24" s="431" t="s">
        <v>970</v>
      </c>
      <c r="C24" s="778" t="s">
        <v>1011</v>
      </c>
      <c r="D24" s="778"/>
      <c r="E24" s="778"/>
      <c r="F24" s="778"/>
      <c r="G24" s="86" t="s">
        <v>176</v>
      </c>
      <c r="H24" s="87">
        <f>M5*3.2</f>
        <v>288</v>
      </c>
      <c r="I24" s="566"/>
      <c r="J24" s="662"/>
    </row>
    <row r="25" spans="1:106" s="1" customFormat="1" ht="33" customHeight="1">
      <c r="A25" s="64" t="s">
        <v>34</v>
      </c>
      <c r="B25" s="571" t="s">
        <v>114</v>
      </c>
      <c r="C25" s="736" t="s">
        <v>1024</v>
      </c>
      <c r="D25" s="736"/>
      <c r="E25" s="736"/>
      <c r="F25" s="736"/>
      <c r="G25" s="736"/>
      <c r="H25" s="736"/>
      <c r="I25" s="736"/>
      <c r="J25" s="736"/>
    </row>
    <row r="26" spans="1:106" s="1" customFormat="1" ht="33" customHeight="1">
      <c r="A26" s="86">
        <v>6</v>
      </c>
      <c r="B26" s="564" t="s">
        <v>162</v>
      </c>
      <c r="C26" s="778" t="s">
        <v>1023</v>
      </c>
      <c r="D26" s="778"/>
      <c r="E26" s="778"/>
      <c r="F26" s="778"/>
      <c r="G26" s="86" t="s">
        <v>176</v>
      </c>
      <c r="H26" s="87">
        <f>M5*3.2</f>
        <v>288</v>
      </c>
      <c r="I26" s="566"/>
      <c r="J26" s="662"/>
    </row>
    <row r="27" spans="1:106" s="8" customFormat="1" ht="18" customHeight="1">
      <c r="A27" s="64" t="s">
        <v>34</v>
      </c>
      <c r="B27" s="571" t="s">
        <v>972</v>
      </c>
      <c r="C27" s="736" t="s">
        <v>20</v>
      </c>
      <c r="D27" s="736"/>
      <c r="E27" s="736"/>
      <c r="F27" s="736"/>
      <c r="G27" s="736"/>
      <c r="H27" s="736"/>
      <c r="I27" s="736"/>
      <c r="J27" s="736"/>
    </row>
    <row r="28" spans="1:106" s="8" customFormat="1" ht="30" customHeight="1">
      <c r="A28" s="86">
        <v>7</v>
      </c>
      <c r="B28" s="623" t="s">
        <v>984</v>
      </c>
      <c r="C28" s="769" t="s">
        <v>485</v>
      </c>
      <c r="D28" s="769"/>
      <c r="E28" s="769"/>
      <c r="F28" s="769"/>
      <c r="G28" s="86" t="s">
        <v>176</v>
      </c>
      <c r="H28" s="87">
        <f>M5*3.2</f>
        <v>288</v>
      </c>
      <c r="I28" s="566"/>
      <c r="J28" s="662"/>
    </row>
    <row r="29" spans="1:106" s="8" customFormat="1" ht="33" customHeight="1">
      <c r="A29" s="524"/>
      <c r="B29" s="524" t="s">
        <v>59</v>
      </c>
      <c r="C29" s="770" t="s">
        <v>182</v>
      </c>
      <c r="D29" s="770"/>
      <c r="E29" s="770"/>
      <c r="F29" s="770"/>
      <c r="G29" s="770"/>
      <c r="H29" s="770"/>
      <c r="I29" s="770"/>
      <c r="J29" s="770"/>
      <c r="L29" s="8" t="s">
        <v>1081</v>
      </c>
    </row>
    <row r="30" spans="1:106" s="16" customFormat="1" ht="25.5" hidden="1" customHeight="1">
      <c r="A30" s="64" t="s">
        <v>34</v>
      </c>
      <c r="B30" s="276" t="s">
        <v>116</v>
      </c>
      <c r="C30" s="741" t="s">
        <v>776</v>
      </c>
      <c r="D30" s="741"/>
      <c r="E30" s="741"/>
      <c r="F30" s="741"/>
      <c r="G30" s="741" t="s">
        <v>8</v>
      </c>
      <c r="H30" s="741"/>
      <c r="I30" s="673"/>
      <c r="J30" s="66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</row>
    <row r="31" spans="1:106" s="204" customFormat="1" ht="29.25" hidden="1" customHeight="1">
      <c r="A31" s="86">
        <v>27</v>
      </c>
      <c r="B31" s="650" t="s">
        <v>116</v>
      </c>
      <c r="C31" s="771" t="s">
        <v>820</v>
      </c>
      <c r="D31" s="771"/>
      <c r="E31" s="771"/>
      <c r="F31" s="771"/>
      <c r="G31" s="289" t="s">
        <v>919</v>
      </c>
      <c r="H31" s="671" t="e">
        <f>SUM(#REF!)</f>
        <v>#REF!</v>
      </c>
      <c r="I31" s="674"/>
      <c r="J31" s="66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</row>
    <row r="32" spans="1:106" s="204" customFormat="1" ht="29.25" hidden="1" customHeight="1">
      <c r="A32" s="772"/>
      <c r="B32" s="773"/>
      <c r="C32" s="774" t="s">
        <v>778</v>
      </c>
      <c r="D32" s="774"/>
      <c r="E32" s="774"/>
      <c r="F32" s="774"/>
      <c r="G32" s="775" t="s">
        <v>920</v>
      </c>
      <c r="H32" s="776" t="s">
        <v>34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0.25" hidden="1" customHeight="1">
      <c r="A33" s="772"/>
      <c r="B33" s="773"/>
      <c r="C33" s="645" t="s">
        <v>713</v>
      </c>
      <c r="D33" s="652" t="e">
        <f>#REF!</f>
        <v>#REF!</v>
      </c>
      <c r="E33" s="290" t="str">
        <f>G32</f>
        <v>m2</v>
      </c>
      <c r="F33" s="652" t="s">
        <v>716</v>
      </c>
      <c r="G33" s="775"/>
      <c r="H33" s="776"/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276" t="s">
        <v>34</v>
      </c>
      <c r="B34" s="276" t="s">
        <v>845</v>
      </c>
      <c r="C34" s="741" t="s">
        <v>847</v>
      </c>
      <c r="D34" s="741" t="s">
        <v>8</v>
      </c>
      <c r="E34" s="741"/>
      <c r="F34" s="741"/>
      <c r="G34" s="655" t="s">
        <v>8</v>
      </c>
      <c r="H34" s="655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36" hidden="1" customHeight="1">
      <c r="A35" s="593">
        <v>44</v>
      </c>
      <c r="B35" s="656" t="s">
        <v>846</v>
      </c>
      <c r="C35" s="771" t="s">
        <v>915</v>
      </c>
      <c r="D35" s="771"/>
      <c r="E35" s="771"/>
      <c r="F35" s="771"/>
      <c r="G35" s="289" t="s">
        <v>919</v>
      </c>
      <c r="H35" s="671" t="e">
        <f>SUM(#REF!)</f>
        <v>#REF!</v>
      </c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45.75" hidden="1" customHeight="1">
      <c r="A36" s="775"/>
      <c r="B36" s="773"/>
      <c r="C36" s="774" t="s">
        <v>940</v>
      </c>
      <c r="D36" s="774"/>
      <c r="E36" s="774"/>
      <c r="F36" s="774"/>
      <c r="G36" s="775" t="s">
        <v>920</v>
      </c>
      <c r="H36" s="776" t="s">
        <v>34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24.75" hidden="1" customHeight="1">
      <c r="A37" s="775"/>
      <c r="B37" s="773"/>
      <c r="C37" s="645" t="s">
        <v>713</v>
      </c>
      <c r="D37" s="652" t="e">
        <f>#REF!</f>
        <v>#REF!</v>
      </c>
      <c r="E37" s="290" t="str">
        <f>G36</f>
        <v>m2</v>
      </c>
      <c r="F37" s="652" t="s">
        <v>811</v>
      </c>
      <c r="G37" s="775"/>
      <c r="H37" s="776"/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34.5" hidden="1" customHeight="1">
      <c r="A38" s="64" t="s">
        <v>34</v>
      </c>
      <c r="B38" s="276" t="s">
        <v>848</v>
      </c>
      <c r="C38" s="741" t="s">
        <v>849</v>
      </c>
      <c r="D38" s="741" t="s">
        <v>8</v>
      </c>
      <c r="E38" s="741"/>
      <c r="F38" s="741"/>
      <c r="G38" s="655" t="s">
        <v>8</v>
      </c>
      <c r="H38" s="655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20.25" hidden="1" customHeight="1">
      <c r="A39" s="458">
        <v>29</v>
      </c>
      <c r="B39" s="656" t="s">
        <v>846</v>
      </c>
      <c r="C39" s="771" t="s">
        <v>844</v>
      </c>
      <c r="D39" s="771"/>
      <c r="E39" s="771"/>
      <c r="F39" s="771"/>
      <c r="G39" s="289" t="s">
        <v>919</v>
      </c>
      <c r="H39" s="671" t="e">
        <f>SUM(#REF!)</f>
        <v>#REF!</v>
      </c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47.25" hidden="1" customHeight="1">
      <c r="A40" s="772"/>
      <c r="B40" s="773"/>
      <c r="C40" s="774" t="s">
        <v>843</v>
      </c>
      <c r="D40" s="774"/>
      <c r="E40" s="774"/>
      <c r="F40" s="774"/>
      <c r="G40" s="775" t="s">
        <v>920</v>
      </c>
      <c r="H40" s="776" t="s">
        <v>34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20.25" hidden="1" customHeight="1">
      <c r="A41" s="772"/>
      <c r="B41" s="773"/>
      <c r="C41" s="645" t="s">
        <v>713</v>
      </c>
      <c r="D41" s="652" t="e">
        <f>#REF!</f>
        <v>#REF!</v>
      </c>
      <c r="E41" s="290" t="str">
        <f>G40</f>
        <v>m2</v>
      </c>
      <c r="F41" s="652" t="s">
        <v>811</v>
      </c>
      <c r="G41" s="775"/>
      <c r="H41" s="776"/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458">
        <v>30</v>
      </c>
      <c r="B42" s="656" t="s">
        <v>851</v>
      </c>
      <c r="C42" s="771" t="s">
        <v>852</v>
      </c>
      <c r="D42" s="771"/>
      <c r="E42" s="771"/>
      <c r="F42" s="771"/>
      <c r="G42" s="289" t="s">
        <v>919</v>
      </c>
      <c r="H42" s="671" t="e">
        <f>SUM(#REF!)</f>
        <v>#REF!</v>
      </c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45.75" hidden="1" customHeight="1">
      <c r="A43" s="772"/>
      <c r="B43" s="773"/>
      <c r="C43" s="774" t="s">
        <v>853</v>
      </c>
      <c r="D43" s="774"/>
      <c r="E43" s="774"/>
      <c r="F43" s="774"/>
      <c r="G43" s="775" t="s">
        <v>920</v>
      </c>
      <c r="H43" s="776" t="s">
        <v>34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20.25" hidden="1" customHeight="1">
      <c r="A44" s="772"/>
      <c r="B44" s="773"/>
      <c r="C44" s="645" t="s">
        <v>713</v>
      </c>
      <c r="D44" s="652" t="e">
        <f>#REF!</f>
        <v>#REF!</v>
      </c>
      <c r="E44" s="290" t="str">
        <f>G43</f>
        <v>m2</v>
      </c>
      <c r="F44" s="652" t="s">
        <v>811</v>
      </c>
      <c r="G44" s="775"/>
      <c r="H44" s="776"/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customHeight="1">
      <c r="A45" s="571"/>
      <c r="B45" s="64" t="s">
        <v>116</v>
      </c>
      <c r="C45" s="736" t="s">
        <v>776</v>
      </c>
      <c r="D45" s="736"/>
      <c r="E45" s="736"/>
      <c r="F45" s="736"/>
      <c r="G45" s="736"/>
      <c r="H45" s="736"/>
      <c r="I45" s="736"/>
      <c r="J45" s="736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36.75" customHeight="1">
      <c r="A46" s="679" t="s">
        <v>1022</v>
      </c>
      <c r="B46" s="564" t="s">
        <v>213</v>
      </c>
      <c r="C46" s="769" t="s">
        <v>1021</v>
      </c>
      <c r="D46" s="769"/>
      <c r="E46" s="769"/>
      <c r="F46" s="769"/>
      <c r="G46" s="458" t="s">
        <v>176</v>
      </c>
      <c r="H46" s="566">
        <v>18</v>
      </c>
      <c r="I46" s="389"/>
      <c r="J46" s="662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22.5" customHeight="1">
      <c r="A47" s="64" t="s">
        <v>34</v>
      </c>
      <c r="B47" s="64" t="s">
        <v>21</v>
      </c>
      <c r="C47" s="736" t="s">
        <v>1078</v>
      </c>
      <c r="D47" s="736"/>
      <c r="E47" s="736"/>
      <c r="F47" s="736"/>
      <c r="G47" s="736"/>
      <c r="H47" s="736"/>
      <c r="I47" s="736"/>
      <c r="J47" s="736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8" s="204" customFormat="1" ht="30.75" hidden="1" customHeight="1">
      <c r="A48" s="289">
        <v>45</v>
      </c>
      <c r="B48" s="656" t="s">
        <v>816</v>
      </c>
      <c r="C48" s="771" t="s">
        <v>935</v>
      </c>
      <c r="D48" s="771"/>
      <c r="E48" s="771"/>
      <c r="F48" s="771"/>
      <c r="G48" s="289" t="s">
        <v>924</v>
      </c>
      <c r="H48" s="671" t="e">
        <f>SUM(#REF!)</f>
        <v>#REF!</v>
      </c>
      <c r="I48" s="674"/>
      <c r="J48" s="665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6.75" hidden="1" customHeight="1">
      <c r="A49" s="775"/>
      <c r="B49" s="777"/>
      <c r="C49" s="774" t="s">
        <v>936</v>
      </c>
      <c r="D49" s="774"/>
      <c r="E49" s="774"/>
      <c r="F49" s="774"/>
      <c r="G49" s="775" t="s">
        <v>924</v>
      </c>
      <c r="H49" s="776" t="s">
        <v>34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0" hidden="1" customHeight="1">
      <c r="A50" s="775"/>
      <c r="B50" s="777"/>
      <c r="C50" s="645" t="s">
        <v>713</v>
      </c>
      <c r="D50" s="652" t="e">
        <f>#REF!</f>
        <v>#REF!</v>
      </c>
      <c r="E50" s="290" t="s">
        <v>924</v>
      </c>
      <c r="F50" s="652" t="s">
        <v>716</v>
      </c>
      <c r="G50" s="775"/>
      <c r="H50" s="776"/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43.5" customHeight="1">
      <c r="A51" s="86">
        <v>9</v>
      </c>
      <c r="B51" s="564" t="s">
        <v>1008</v>
      </c>
      <c r="C51" s="778" t="s">
        <v>1079</v>
      </c>
      <c r="D51" s="778"/>
      <c r="E51" s="778"/>
      <c r="F51" s="778"/>
      <c r="G51" s="86" t="s">
        <v>176</v>
      </c>
      <c r="H51" s="77">
        <f>M5*3*1.05</f>
        <v>283.5</v>
      </c>
      <c r="I51" s="77"/>
      <c r="J51" s="662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41" customFormat="1" ht="35.25" customHeight="1">
      <c r="A52" s="21"/>
      <c r="B52" s="448" t="s">
        <v>60</v>
      </c>
      <c r="C52" s="737" t="s">
        <v>183</v>
      </c>
      <c r="D52" s="737"/>
      <c r="E52" s="737"/>
      <c r="F52" s="737"/>
      <c r="G52" s="737"/>
      <c r="H52" s="737"/>
      <c r="I52" s="737"/>
      <c r="J52" s="73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</row>
    <row r="53" spans="1:68" s="8" customFormat="1" ht="19.5" customHeight="1">
      <c r="A53" s="64" t="s">
        <v>34</v>
      </c>
      <c r="B53" s="571" t="s">
        <v>23</v>
      </c>
      <c r="C53" s="736" t="s">
        <v>167</v>
      </c>
      <c r="D53" s="736"/>
      <c r="E53" s="736"/>
      <c r="F53" s="736"/>
      <c r="G53" s="736" t="s">
        <v>8</v>
      </c>
      <c r="H53" s="736"/>
      <c r="I53" s="736"/>
      <c r="J53" s="736"/>
    </row>
    <row r="54" spans="1:68" s="11" customFormat="1" ht="28.5" customHeight="1">
      <c r="A54" s="86">
        <v>10</v>
      </c>
      <c r="B54" s="432" t="s">
        <v>0</v>
      </c>
      <c r="C54" s="778" t="s">
        <v>74</v>
      </c>
      <c r="D54" s="778"/>
      <c r="E54" s="778"/>
      <c r="F54" s="778"/>
      <c r="G54" s="86" t="s">
        <v>176</v>
      </c>
      <c r="H54" s="87">
        <f>H9/2</f>
        <v>45</v>
      </c>
      <c r="I54" s="566"/>
      <c r="J54" s="662"/>
    </row>
    <row r="55" spans="1:68" s="8" customFormat="1" ht="38.25" hidden="1" customHeight="1">
      <c r="A55" s="779"/>
      <c r="B55" s="780"/>
      <c r="C55" s="781" t="s">
        <v>983</v>
      </c>
      <c r="D55" s="781"/>
      <c r="E55" s="781"/>
      <c r="F55" s="781"/>
      <c r="G55" s="772" t="s">
        <v>177</v>
      </c>
      <c r="H55" s="782" t="s">
        <v>34</v>
      </c>
      <c r="I55" s="106"/>
      <c r="J55" s="662" t="e">
        <f t="shared" ref="J55:J56" si="0">H55*I55</f>
        <v>#VALUE!</v>
      </c>
    </row>
    <row r="56" spans="1:68" s="8" customFormat="1" ht="16.5" hidden="1" customHeight="1">
      <c r="A56" s="779"/>
      <c r="B56" s="780"/>
      <c r="C56" s="672" t="s">
        <v>713</v>
      </c>
      <c r="D56" s="67" t="e">
        <f>#REF!</f>
        <v>#REF!</v>
      </c>
      <c r="E56" s="109" t="str">
        <f>G55</f>
        <v>m2</v>
      </c>
      <c r="F56" s="67" t="s">
        <v>715</v>
      </c>
      <c r="G56" s="772"/>
      <c r="H56" s="782"/>
      <c r="I56" s="106"/>
      <c r="J56" s="662">
        <f t="shared" si="0"/>
        <v>0</v>
      </c>
    </row>
    <row r="57" spans="1:68" s="8" customFormat="1" ht="19.5" customHeight="1">
      <c r="A57" s="64" t="s">
        <v>34</v>
      </c>
      <c r="B57" s="450" t="s">
        <v>976</v>
      </c>
      <c r="C57" s="736" t="s">
        <v>975</v>
      </c>
      <c r="D57" s="736"/>
      <c r="E57" s="736"/>
      <c r="F57" s="736"/>
      <c r="G57" s="736" t="s">
        <v>8</v>
      </c>
      <c r="H57" s="736"/>
      <c r="I57" s="736"/>
      <c r="J57" s="736"/>
    </row>
    <row r="58" spans="1:68" s="11" customFormat="1" ht="29.25" customHeight="1">
      <c r="A58" s="86">
        <v>11</v>
      </c>
      <c r="B58" s="432" t="s">
        <v>977</v>
      </c>
      <c r="C58" s="778" t="s">
        <v>1017</v>
      </c>
      <c r="D58" s="778"/>
      <c r="E58" s="778"/>
      <c r="F58" s="778"/>
      <c r="G58" s="86" t="s">
        <v>176</v>
      </c>
      <c r="H58" s="87">
        <f>M5*2*0.5</f>
        <v>90</v>
      </c>
      <c r="I58" s="77"/>
      <c r="J58" s="662"/>
    </row>
    <row r="59" spans="1:68" ht="21" customHeight="1">
      <c r="A59" s="783" t="s">
        <v>1014</v>
      </c>
      <c r="B59" s="783"/>
      <c r="C59" s="783"/>
      <c r="D59" s="783"/>
      <c r="E59" s="783"/>
      <c r="F59" s="783"/>
      <c r="G59" s="783"/>
      <c r="H59" s="783"/>
      <c r="I59" s="783"/>
      <c r="J59" s="592"/>
    </row>
    <row r="60" spans="1:68" ht="21" customHeight="1">
      <c r="A60" s="783" t="s">
        <v>76</v>
      </c>
      <c r="B60" s="783"/>
      <c r="C60" s="783"/>
      <c r="D60" s="783"/>
      <c r="E60" s="783"/>
      <c r="F60" s="783"/>
      <c r="G60" s="783"/>
      <c r="H60" s="783"/>
      <c r="I60" s="783"/>
      <c r="J60" s="592"/>
    </row>
    <row r="61" spans="1:68" ht="21" customHeight="1">
      <c r="A61" s="783" t="s">
        <v>90</v>
      </c>
      <c r="B61" s="783"/>
      <c r="C61" s="783"/>
      <c r="D61" s="783"/>
      <c r="E61" s="783"/>
      <c r="F61" s="783"/>
      <c r="G61" s="783"/>
      <c r="H61" s="783"/>
      <c r="I61" s="783"/>
      <c r="J61" s="592"/>
    </row>
    <row r="62" spans="1:68" ht="21" customHeight="1">
      <c r="A62" s="553"/>
      <c r="B62" s="553"/>
      <c r="C62" s="554"/>
      <c r="D62" s="556"/>
      <c r="E62" s="555"/>
      <c r="F62" s="555"/>
      <c r="G62" s="500"/>
      <c r="H62" s="547"/>
    </row>
    <row r="63" spans="1:68" ht="12.75" customHeight="1">
      <c r="B63" s="494"/>
      <c r="C63" s="507"/>
      <c r="D63" s="504"/>
      <c r="E63" s="494"/>
      <c r="F63" s="526"/>
      <c r="G63" s="526"/>
    </row>
    <row r="64" spans="1:68" ht="12.75" customHeight="1">
      <c r="B64" s="494"/>
      <c r="C64" s="507"/>
      <c r="D64" s="504"/>
      <c r="E64" s="494"/>
      <c r="F64" s="526"/>
      <c r="G64" s="526"/>
    </row>
    <row r="65" spans="2:7" ht="12.75" customHeight="1">
      <c r="B65" s="494"/>
      <c r="C65" s="507"/>
      <c r="D65" s="504"/>
      <c r="E65" s="494"/>
      <c r="F65" s="526"/>
      <c r="G65" s="526"/>
    </row>
    <row r="66" spans="2:7" ht="12.75" customHeight="1">
      <c r="B66" s="494"/>
      <c r="C66" s="507"/>
      <c r="D66" s="504"/>
      <c r="E66" s="494"/>
      <c r="F66" s="526"/>
      <c r="G66" s="526"/>
    </row>
  </sheetData>
  <mergeCells count="92">
    <mergeCell ref="A6:A7"/>
    <mergeCell ref="B6:B7"/>
    <mergeCell ref="C6:F6"/>
    <mergeCell ref="G6:G7"/>
    <mergeCell ref="H6:H7"/>
    <mergeCell ref="A1:J1"/>
    <mergeCell ref="A2:J2"/>
    <mergeCell ref="C3:F3"/>
    <mergeCell ref="B4:J4"/>
    <mergeCell ref="C5:J5"/>
    <mergeCell ref="C8:J8"/>
    <mergeCell ref="C9:F9"/>
    <mergeCell ref="A10:A11"/>
    <mergeCell ref="B10:B11"/>
    <mergeCell ref="C10:F10"/>
    <mergeCell ref="G10:G11"/>
    <mergeCell ref="H10:H11"/>
    <mergeCell ref="C12:J12"/>
    <mergeCell ref="C13:F13"/>
    <mergeCell ref="A14:A15"/>
    <mergeCell ref="B14:B15"/>
    <mergeCell ref="C14:F14"/>
    <mergeCell ref="G14:G15"/>
    <mergeCell ref="H14:H15"/>
    <mergeCell ref="A20:A21"/>
    <mergeCell ref="B20:B21"/>
    <mergeCell ref="C20:F20"/>
    <mergeCell ref="G20:G21"/>
    <mergeCell ref="H20:H21"/>
    <mergeCell ref="C27:J27"/>
    <mergeCell ref="M14:P14"/>
    <mergeCell ref="C16:F16"/>
    <mergeCell ref="C17:J17"/>
    <mergeCell ref="C18:J18"/>
    <mergeCell ref="C19:F19"/>
    <mergeCell ref="C22:J22"/>
    <mergeCell ref="C23:J23"/>
    <mergeCell ref="C24:F24"/>
    <mergeCell ref="C25:J25"/>
    <mergeCell ref="C26:F26"/>
    <mergeCell ref="C28:F28"/>
    <mergeCell ref="C29:J29"/>
    <mergeCell ref="C30:H30"/>
    <mergeCell ref="C31:F31"/>
    <mergeCell ref="A32:A33"/>
    <mergeCell ref="B32:B33"/>
    <mergeCell ref="C32:F32"/>
    <mergeCell ref="G32:G33"/>
    <mergeCell ref="H32:H33"/>
    <mergeCell ref="C34:F34"/>
    <mergeCell ref="C35:F35"/>
    <mergeCell ref="A36:A37"/>
    <mergeCell ref="B36:B37"/>
    <mergeCell ref="C36:F36"/>
    <mergeCell ref="H43:H44"/>
    <mergeCell ref="H36:H37"/>
    <mergeCell ref="C38:F38"/>
    <mergeCell ref="C39:F39"/>
    <mergeCell ref="A40:A41"/>
    <mergeCell ref="B40:B41"/>
    <mergeCell ref="C40:F40"/>
    <mergeCell ref="G40:G41"/>
    <mergeCell ref="H40:H41"/>
    <mergeCell ref="G36:G37"/>
    <mergeCell ref="C42:F42"/>
    <mergeCell ref="A43:A44"/>
    <mergeCell ref="B43:B44"/>
    <mergeCell ref="C43:F43"/>
    <mergeCell ref="G43:G44"/>
    <mergeCell ref="C45:J45"/>
    <mergeCell ref="C46:F46"/>
    <mergeCell ref="C47:J47"/>
    <mergeCell ref="C48:F48"/>
    <mergeCell ref="A49:A50"/>
    <mergeCell ref="B49:B50"/>
    <mergeCell ref="C49:F49"/>
    <mergeCell ref="G49:G50"/>
    <mergeCell ref="H49:H50"/>
    <mergeCell ref="C51:F51"/>
    <mergeCell ref="C52:J52"/>
    <mergeCell ref="C53:J53"/>
    <mergeCell ref="C54:F54"/>
    <mergeCell ref="A55:A56"/>
    <mergeCell ref="B55:B56"/>
    <mergeCell ref="C55:F55"/>
    <mergeCell ref="G55:G56"/>
    <mergeCell ref="H55:H56"/>
    <mergeCell ref="C57:J57"/>
    <mergeCell ref="C58:F58"/>
    <mergeCell ref="A59:I59"/>
    <mergeCell ref="A60:I60"/>
    <mergeCell ref="A61:I61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7"/>
  <sheetViews>
    <sheetView view="pageBreakPreview" zoomScaleNormal="100" zoomScaleSheetLayoutView="100" workbookViewId="0">
      <selection activeCell="A2" sqref="A2:J2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44" t="s">
        <v>1084</v>
      </c>
      <c r="B1" s="744"/>
      <c r="C1" s="744"/>
      <c r="D1" s="744"/>
      <c r="E1" s="744"/>
      <c r="F1" s="744"/>
      <c r="G1" s="744"/>
      <c r="H1" s="744"/>
      <c r="I1" s="744"/>
      <c r="J1" s="744"/>
    </row>
    <row r="2" spans="1:18" s="4" customFormat="1" ht="39" customHeight="1">
      <c r="A2" s="760" t="s">
        <v>1035</v>
      </c>
      <c r="B2" s="760"/>
      <c r="C2" s="760"/>
      <c r="D2" s="760"/>
      <c r="E2" s="760"/>
      <c r="F2" s="760"/>
      <c r="G2" s="760"/>
      <c r="H2" s="760"/>
      <c r="I2" s="760"/>
      <c r="J2" s="760"/>
    </row>
    <row r="3" spans="1:18" ht="45" customHeight="1">
      <c r="A3" s="74" t="s">
        <v>3</v>
      </c>
      <c r="B3" s="449" t="s">
        <v>199</v>
      </c>
      <c r="C3" s="755" t="s">
        <v>4</v>
      </c>
      <c r="D3" s="755"/>
      <c r="E3" s="755"/>
      <c r="F3" s="755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61" t="s">
        <v>1006</v>
      </c>
      <c r="C4" s="761"/>
      <c r="D4" s="761"/>
      <c r="E4" s="761"/>
      <c r="F4" s="761"/>
      <c r="G4" s="761"/>
      <c r="H4" s="761"/>
      <c r="I4" s="761"/>
      <c r="J4" s="761"/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</row>
    <row r="6" spans="1:18" ht="44.25" hidden="1" customHeight="1">
      <c r="A6" s="755"/>
      <c r="B6" s="756"/>
      <c r="C6" s="757" t="s">
        <v>733</v>
      </c>
      <c r="D6" s="757"/>
      <c r="E6" s="757"/>
      <c r="F6" s="757"/>
      <c r="G6" s="758" t="s">
        <v>177</v>
      </c>
      <c r="H6" s="759" t="s">
        <v>34</v>
      </c>
      <c r="I6" s="377"/>
      <c r="J6" s="521"/>
    </row>
    <row r="7" spans="1:18" ht="21.75" hidden="1" customHeight="1">
      <c r="A7" s="755"/>
      <c r="B7" s="756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58"/>
      <c r="H7" s="759"/>
      <c r="I7" s="377"/>
      <c r="J7" s="521"/>
    </row>
    <row r="8" spans="1:18" ht="18" customHeight="1">
      <c r="A8" s="64" t="s">
        <v>34</v>
      </c>
      <c r="B8" s="571" t="s">
        <v>14</v>
      </c>
      <c r="C8" s="736" t="s">
        <v>108</v>
      </c>
      <c r="D8" s="736"/>
      <c r="E8" s="736"/>
      <c r="F8" s="736"/>
      <c r="G8" s="736"/>
      <c r="H8" s="736"/>
      <c r="I8" s="736"/>
      <c r="J8" s="736"/>
    </row>
    <row r="9" spans="1:18" s="14" customFormat="1" ht="31.5" customHeight="1">
      <c r="A9" s="74">
        <v>1</v>
      </c>
      <c r="B9" s="449" t="s">
        <v>952</v>
      </c>
      <c r="C9" s="762" t="s">
        <v>1018</v>
      </c>
      <c r="D9" s="762"/>
      <c r="E9" s="762"/>
      <c r="F9" s="762"/>
      <c r="G9" s="74" t="s">
        <v>176</v>
      </c>
      <c r="H9" s="78">
        <f>240*1</f>
        <v>240</v>
      </c>
      <c r="I9" s="78"/>
      <c r="J9" s="662"/>
    </row>
    <row r="10" spans="1:18" ht="54" hidden="1" customHeight="1">
      <c r="A10" s="755"/>
      <c r="B10" s="763"/>
      <c r="C10" s="764" t="s">
        <v>969</v>
      </c>
      <c r="D10" s="764"/>
      <c r="E10" s="764"/>
      <c r="F10" s="764"/>
      <c r="G10" s="758" t="s">
        <v>177</v>
      </c>
      <c r="H10" s="765" t="s">
        <v>34</v>
      </c>
      <c r="I10" s="377"/>
      <c r="J10" s="521"/>
    </row>
    <row r="11" spans="1:18" ht="21" hidden="1" customHeight="1">
      <c r="A11" s="755"/>
      <c r="B11" s="763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58"/>
      <c r="H11" s="765"/>
      <c r="I11" s="377"/>
      <c r="J11" s="521"/>
    </row>
    <row r="12" spans="1:18" ht="17.25" customHeight="1">
      <c r="A12" s="64" t="s">
        <v>34</v>
      </c>
      <c r="B12" s="571" t="s">
        <v>15</v>
      </c>
      <c r="C12" s="736" t="s">
        <v>10</v>
      </c>
      <c r="D12" s="736"/>
      <c r="E12" s="736"/>
      <c r="F12" s="736"/>
      <c r="G12" s="736"/>
      <c r="H12" s="736"/>
      <c r="I12" s="736"/>
      <c r="J12" s="736"/>
      <c r="R12" s="40">
        <v>13</v>
      </c>
    </row>
    <row r="13" spans="1:18" ht="50.25" customHeight="1">
      <c r="A13" s="74">
        <v>2</v>
      </c>
      <c r="B13" s="66" t="s">
        <v>109</v>
      </c>
      <c r="C13" s="762" t="s">
        <v>1020</v>
      </c>
      <c r="D13" s="762"/>
      <c r="E13" s="762"/>
      <c r="F13" s="762"/>
      <c r="G13" s="74" t="s">
        <v>176</v>
      </c>
      <c r="H13" s="78">
        <f>2.2*120</f>
        <v>264</v>
      </c>
      <c r="I13" s="78"/>
      <c r="J13" s="662"/>
    </row>
    <row r="14" spans="1:18" ht="25.5" hidden="1" customHeight="1">
      <c r="A14" s="786"/>
      <c r="B14" s="787"/>
      <c r="C14" s="788" t="s">
        <v>974</v>
      </c>
      <c r="D14" s="788"/>
      <c r="E14" s="788"/>
      <c r="F14" s="788"/>
      <c r="G14" s="789" t="s">
        <v>920</v>
      </c>
      <c r="H14" s="790" t="s">
        <v>34</v>
      </c>
      <c r="I14" s="377"/>
      <c r="J14" s="521"/>
      <c r="M14" s="784"/>
      <c r="N14" s="784"/>
      <c r="O14" s="784"/>
      <c r="P14" s="784"/>
    </row>
    <row r="15" spans="1:18" ht="20.25" hidden="1" customHeight="1">
      <c r="A15" s="786"/>
      <c r="B15" s="787"/>
      <c r="C15" s="645" t="s">
        <v>713</v>
      </c>
      <c r="D15" s="652" t="e">
        <f>#REF!</f>
        <v>#REF!</v>
      </c>
      <c r="E15" s="290" t="s">
        <v>708</v>
      </c>
      <c r="F15" s="652" t="s">
        <v>718</v>
      </c>
      <c r="G15" s="789"/>
      <c r="H15" s="790"/>
      <c r="I15" s="377"/>
      <c r="J15" s="521"/>
    </row>
    <row r="16" spans="1:18" ht="36.75" customHeight="1">
      <c r="A16" s="74">
        <v>3</v>
      </c>
      <c r="B16" s="641" t="s">
        <v>31</v>
      </c>
      <c r="C16" s="785" t="s">
        <v>1019</v>
      </c>
      <c r="D16" s="785"/>
      <c r="E16" s="785"/>
      <c r="F16" s="785"/>
      <c r="G16" s="74" t="s">
        <v>176</v>
      </c>
      <c r="H16" s="78">
        <v>16</v>
      </c>
      <c r="I16" s="78"/>
      <c r="J16" s="662"/>
    </row>
    <row r="17" spans="1:106" ht="32.25" customHeight="1">
      <c r="A17" s="21"/>
      <c r="B17" s="448" t="s">
        <v>111</v>
      </c>
      <c r="C17" s="737" t="s">
        <v>189</v>
      </c>
      <c r="D17" s="737"/>
      <c r="E17" s="737"/>
      <c r="F17" s="737"/>
      <c r="G17" s="737"/>
      <c r="H17" s="737"/>
      <c r="I17" s="737"/>
      <c r="J17" s="737"/>
    </row>
    <row r="18" spans="1:106" s="15" customFormat="1" ht="21" customHeight="1">
      <c r="A18" s="64" t="s">
        <v>34</v>
      </c>
      <c r="B18" s="571" t="s">
        <v>142</v>
      </c>
      <c r="C18" s="736" t="s">
        <v>147</v>
      </c>
      <c r="D18" s="736"/>
      <c r="E18" s="736"/>
      <c r="F18" s="736"/>
      <c r="G18" s="736"/>
      <c r="H18" s="736"/>
      <c r="I18" s="736"/>
      <c r="J18" s="736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</row>
    <row r="19" spans="1:106" s="15" customFormat="1" ht="37.5" customHeight="1">
      <c r="A19" s="74">
        <v>4</v>
      </c>
      <c r="B19" s="572" t="s">
        <v>143</v>
      </c>
      <c r="C19" s="768" t="s">
        <v>1046</v>
      </c>
      <c r="D19" s="768"/>
      <c r="E19" s="768"/>
      <c r="F19" s="768"/>
      <c r="G19" s="74" t="s">
        <v>179</v>
      </c>
      <c r="H19" s="78">
        <f>240*0.7</f>
        <v>168</v>
      </c>
      <c r="I19" s="78"/>
      <c r="J19" s="662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54" hidden="1" customHeight="1">
      <c r="A20" s="755"/>
      <c r="B20" s="766"/>
      <c r="C20" s="764" t="s">
        <v>978</v>
      </c>
      <c r="D20" s="764"/>
      <c r="E20" s="764"/>
      <c r="F20" s="764"/>
      <c r="G20" s="758" t="s">
        <v>178</v>
      </c>
      <c r="H20" s="767" t="s">
        <v>34</v>
      </c>
      <c r="I20" s="632"/>
      <c r="J20" s="66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15" customFormat="1" ht="18" hidden="1" customHeight="1">
      <c r="A21" s="755"/>
      <c r="B21" s="766"/>
      <c r="C21" s="672" t="s">
        <v>714</v>
      </c>
      <c r="D21" s="67" t="e">
        <f>#REF!</f>
        <v>#REF!</v>
      </c>
      <c r="E21" s="109" t="str">
        <f>G20</f>
        <v>m3</v>
      </c>
      <c r="F21" s="67" t="s">
        <v>716</v>
      </c>
      <c r="G21" s="758"/>
      <c r="H21" s="767"/>
      <c r="I21" s="632"/>
      <c r="J21" s="66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</row>
    <row r="22" spans="1:106" s="3" customFormat="1" ht="31.5" customHeight="1">
      <c r="A22" s="21"/>
      <c r="B22" s="448" t="s">
        <v>57</v>
      </c>
      <c r="C22" s="737" t="s">
        <v>181</v>
      </c>
      <c r="D22" s="737"/>
      <c r="E22" s="737"/>
      <c r="F22" s="737"/>
      <c r="G22" s="737"/>
      <c r="H22" s="737"/>
      <c r="I22" s="737"/>
      <c r="J22" s="737"/>
    </row>
    <row r="23" spans="1:106" s="1" customFormat="1" ht="18" customHeight="1">
      <c r="A23" s="64" t="s">
        <v>34</v>
      </c>
      <c r="B23" s="571" t="s">
        <v>98</v>
      </c>
      <c r="C23" s="736" t="s">
        <v>99</v>
      </c>
      <c r="D23" s="736"/>
      <c r="E23" s="736"/>
      <c r="F23" s="736"/>
      <c r="G23" s="736"/>
      <c r="H23" s="736"/>
      <c r="I23" s="736"/>
      <c r="J23" s="736"/>
    </row>
    <row r="24" spans="1:106" s="1" customFormat="1" ht="33" customHeight="1">
      <c r="A24" s="86">
        <v>5</v>
      </c>
      <c r="B24" s="431" t="s">
        <v>970</v>
      </c>
      <c r="C24" s="778" t="s">
        <v>1011</v>
      </c>
      <c r="D24" s="778"/>
      <c r="E24" s="778"/>
      <c r="F24" s="778"/>
      <c r="G24" s="86" t="s">
        <v>176</v>
      </c>
      <c r="H24" s="87">
        <f>120*3.2+120*1</f>
        <v>504</v>
      </c>
      <c r="I24" s="566"/>
      <c r="J24" s="662"/>
    </row>
    <row r="25" spans="1:106" s="1" customFormat="1" ht="33" customHeight="1">
      <c r="A25" s="64" t="s">
        <v>34</v>
      </c>
      <c r="B25" s="571" t="s">
        <v>114</v>
      </c>
      <c r="C25" s="736" t="s">
        <v>1024</v>
      </c>
      <c r="D25" s="736"/>
      <c r="E25" s="736"/>
      <c r="F25" s="736"/>
      <c r="G25" s="736"/>
      <c r="H25" s="736"/>
      <c r="I25" s="736"/>
      <c r="J25" s="736"/>
    </row>
    <row r="26" spans="1:106" s="1" customFormat="1" ht="33" customHeight="1">
      <c r="A26" s="86">
        <v>6</v>
      </c>
      <c r="B26" s="564" t="s">
        <v>162</v>
      </c>
      <c r="C26" s="778" t="s">
        <v>1023</v>
      </c>
      <c r="D26" s="778"/>
      <c r="E26" s="778"/>
      <c r="F26" s="778"/>
      <c r="G26" s="86" t="s">
        <v>176</v>
      </c>
      <c r="H26" s="87">
        <f>120*3.2+120*1</f>
        <v>504</v>
      </c>
      <c r="I26" s="566"/>
      <c r="J26" s="662"/>
    </row>
    <row r="27" spans="1:106" s="8" customFormat="1" ht="18" customHeight="1">
      <c r="A27" s="64" t="s">
        <v>34</v>
      </c>
      <c r="B27" s="571" t="s">
        <v>972</v>
      </c>
      <c r="C27" s="736" t="s">
        <v>20</v>
      </c>
      <c r="D27" s="736"/>
      <c r="E27" s="736"/>
      <c r="F27" s="736"/>
      <c r="G27" s="736"/>
      <c r="H27" s="736"/>
      <c r="I27" s="736"/>
      <c r="J27" s="736"/>
    </row>
    <row r="28" spans="1:106" s="8" customFormat="1" ht="47.25" customHeight="1">
      <c r="A28" s="86">
        <v>7</v>
      </c>
      <c r="B28" s="623" t="s">
        <v>1028</v>
      </c>
      <c r="C28" s="769" t="s">
        <v>1036</v>
      </c>
      <c r="D28" s="769"/>
      <c r="E28" s="769"/>
      <c r="F28" s="769"/>
      <c r="G28" s="86" t="s">
        <v>176</v>
      </c>
      <c r="H28" s="87">
        <f>240*3.2</f>
        <v>768</v>
      </c>
      <c r="I28" s="566"/>
      <c r="J28" s="662"/>
    </row>
    <row r="29" spans="1:106" s="8" customFormat="1" ht="30" customHeight="1">
      <c r="A29" s="86">
        <v>8</v>
      </c>
      <c r="B29" s="623" t="s">
        <v>984</v>
      </c>
      <c r="C29" s="769" t="s">
        <v>485</v>
      </c>
      <c r="D29" s="769"/>
      <c r="E29" s="769"/>
      <c r="F29" s="769"/>
      <c r="G29" s="86" t="s">
        <v>176</v>
      </c>
      <c r="H29" s="87">
        <f>120*3.2+120*1</f>
        <v>504</v>
      </c>
      <c r="I29" s="566"/>
      <c r="J29" s="662"/>
      <c r="L29" s="8" t="s">
        <v>1081</v>
      </c>
    </row>
    <row r="30" spans="1:106" s="8" customFormat="1" ht="33" customHeight="1">
      <c r="A30" s="524"/>
      <c r="B30" s="524" t="s">
        <v>59</v>
      </c>
      <c r="C30" s="770" t="s">
        <v>182</v>
      </c>
      <c r="D30" s="770"/>
      <c r="E30" s="770"/>
      <c r="F30" s="770"/>
      <c r="G30" s="770"/>
      <c r="H30" s="770"/>
      <c r="I30" s="770"/>
      <c r="J30" s="770"/>
    </row>
    <row r="31" spans="1:106" s="16" customFormat="1" ht="25.5" hidden="1" customHeight="1">
      <c r="A31" s="64" t="s">
        <v>34</v>
      </c>
      <c r="B31" s="276" t="s">
        <v>116</v>
      </c>
      <c r="C31" s="741" t="s">
        <v>776</v>
      </c>
      <c r="D31" s="741"/>
      <c r="E31" s="741"/>
      <c r="F31" s="741"/>
      <c r="G31" s="741" t="s">
        <v>8</v>
      </c>
      <c r="H31" s="741"/>
      <c r="I31" s="673"/>
      <c r="J31" s="669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</row>
    <row r="32" spans="1:106" s="204" customFormat="1" ht="29.25" hidden="1" customHeight="1">
      <c r="A32" s="86">
        <v>27</v>
      </c>
      <c r="B32" s="650" t="s">
        <v>116</v>
      </c>
      <c r="C32" s="771" t="s">
        <v>820</v>
      </c>
      <c r="D32" s="771"/>
      <c r="E32" s="771"/>
      <c r="F32" s="771"/>
      <c r="G32" s="289" t="s">
        <v>919</v>
      </c>
      <c r="H32" s="671" t="e">
        <f>SUM(#REF!)</f>
        <v>#REF!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9.25" hidden="1" customHeight="1">
      <c r="A33" s="772"/>
      <c r="B33" s="773"/>
      <c r="C33" s="774" t="s">
        <v>778</v>
      </c>
      <c r="D33" s="774"/>
      <c r="E33" s="774"/>
      <c r="F33" s="774"/>
      <c r="G33" s="775" t="s">
        <v>920</v>
      </c>
      <c r="H33" s="776" t="s">
        <v>34</v>
      </c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772"/>
      <c r="B34" s="773"/>
      <c r="C34" s="645" t="s">
        <v>713</v>
      </c>
      <c r="D34" s="652" t="e">
        <f>#REF!</f>
        <v>#REF!</v>
      </c>
      <c r="E34" s="290" t="str">
        <f>G33</f>
        <v>m2</v>
      </c>
      <c r="F34" s="652" t="s">
        <v>716</v>
      </c>
      <c r="G34" s="775"/>
      <c r="H34" s="776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20.25" hidden="1" customHeight="1">
      <c r="A35" s="276" t="s">
        <v>34</v>
      </c>
      <c r="B35" s="276" t="s">
        <v>845</v>
      </c>
      <c r="C35" s="741" t="s">
        <v>847</v>
      </c>
      <c r="D35" s="741" t="s">
        <v>8</v>
      </c>
      <c r="E35" s="741"/>
      <c r="F35" s="741"/>
      <c r="G35" s="655" t="s">
        <v>8</v>
      </c>
      <c r="H35" s="655"/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36" hidden="1" customHeight="1">
      <c r="A36" s="593">
        <v>44</v>
      </c>
      <c r="B36" s="656" t="s">
        <v>846</v>
      </c>
      <c r="C36" s="771" t="s">
        <v>915</v>
      </c>
      <c r="D36" s="771"/>
      <c r="E36" s="771"/>
      <c r="F36" s="771"/>
      <c r="G36" s="289" t="s">
        <v>919</v>
      </c>
      <c r="H36" s="671" t="e">
        <f>SUM(#REF!)</f>
        <v>#REF!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45.75" hidden="1" customHeight="1">
      <c r="A37" s="775"/>
      <c r="B37" s="773"/>
      <c r="C37" s="774" t="s">
        <v>940</v>
      </c>
      <c r="D37" s="774"/>
      <c r="E37" s="774"/>
      <c r="F37" s="774"/>
      <c r="G37" s="775" t="s">
        <v>920</v>
      </c>
      <c r="H37" s="776" t="s">
        <v>34</v>
      </c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24.75" hidden="1" customHeight="1">
      <c r="A38" s="775"/>
      <c r="B38" s="773"/>
      <c r="C38" s="645" t="s">
        <v>713</v>
      </c>
      <c r="D38" s="652" t="e">
        <f>#REF!</f>
        <v>#REF!</v>
      </c>
      <c r="E38" s="290" t="str">
        <f>G37</f>
        <v>m2</v>
      </c>
      <c r="F38" s="652" t="s">
        <v>811</v>
      </c>
      <c r="G38" s="775"/>
      <c r="H38" s="776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34.5" hidden="1" customHeight="1">
      <c r="A39" s="64" t="s">
        <v>34</v>
      </c>
      <c r="B39" s="276" t="s">
        <v>848</v>
      </c>
      <c r="C39" s="741" t="s">
        <v>849</v>
      </c>
      <c r="D39" s="741" t="s">
        <v>8</v>
      </c>
      <c r="E39" s="741"/>
      <c r="F39" s="741"/>
      <c r="G39" s="655" t="s">
        <v>8</v>
      </c>
      <c r="H39" s="655"/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20.25" hidden="1" customHeight="1">
      <c r="A40" s="458">
        <v>29</v>
      </c>
      <c r="B40" s="656" t="s">
        <v>846</v>
      </c>
      <c r="C40" s="771" t="s">
        <v>844</v>
      </c>
      <c r="D40" s="771"/>
      <c r="E40" s="771"/>
      <c r="F40" s="771"/>
      <c r="G40" s="289" t="s">
        <v>919</v>
      </c>
      <c r="H40" s="671" t="e">
        <f>SUM(#REF!)</f>
        <v>#REF!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47.25" hidden="1" customHeight="1">
      <c r="A41" s="772"/>
      <c r="B41" s="773"/>
      <c r="C41" s="774" t="s">
        <v>843</v>
      </c>
      <c r="D41" s="774"/>
      <c r="E41" s="774"/>
      <c r="F41" s="774"/>
      <c r="G41" s="775" t="s">
        <v>920</v>
      </c>
      <c r="H41" s="776" t="s">
        <v>34</v>
      </c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772"/>
      <c r="B42" s="773"/>
      <c r="C42" s="645" t="s">
        <v>713</v>
      </c>
      <c r="D42" s="652" t="e">
        <f>#REF!</f>
        <v>#REF!</v>
      </c>
      <c r="E42" s="290" t="str">
        <f>G41</f>
        <v>m2</v>
      </c>
      <c r="F42" s="652" t="s">
        <v>811</v>
      </c>
      <c r="G42" s="775"/>
      <c r="H42" s="776"/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20.25" hidden="1" customHeight="1">
      <c r="A43" s="458">
        <v>30</v>
      </c>
      <c r="B43" s="656" t="s">
        <v>851</v>
      </c>
      <c r="C43" s="771" t="s">
        <v>852</v>
      </c>
      <c r="D43" s="771"/>
      <c r="E43" s="771"/>
      <c r="F43" s="771"/>
      <c r="G43" s="289" t="s">
        <v>919</v>
      </c>
      <c r="H43" s="671" t="e">
        <f>SUM(#REF!)</f>
        <v>#REF!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45.75" hidden="1" customHeight="1">
      <c r="A44" s="772"/>
      <c r="B44" s="773"/>
      <c r="C44" s="774" t="s">
        <v>853</v>
      </c>
      <c r="D44" s="774"/>
      <c r="E44" s="774"/>
      <c r="F44" s="774"/>
      <c r="G44" s="775" t="s">
        <v>920</v>
      </c>
      <c r="H44" s="776" t="s">
        <v>34</v>
      </c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hidden="1" customHeight="1">
      <c r="A45" s="772"/>
      <c r="B45" s="773"/>
      <c r="C45" s="645" t="s">
        <v>713</v>
      </c>
      <c r="D45" s="652" t="e">
        <f>#REF!</f>
        <v>#REF!</v>
      </c>
      <c r="E45" s="290" t="str">
        <f>G44</f>
        <v>m2</v>
      </c>
      <c r="F45" s="652" t="s">
        <v>811</v>
      </c>
      <c r="G45" s="775"/>
      <c r="H45" s="776"/>
      <c r="I45" s="674"/>
      <c r="J45" s="665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20.25" customHeight="1">
      <c r="A46" s="571"/>
      <c r="B46" s="64" t="s">
        <v>116</v>
      </c>
      <c r="C46" s="736" t="s">
        <v>776</v>
      </c>
      <c r="D46" s="736"/>
      <c r="E46" s="736"/>
      <c r="F46" s="736"/>
      <c r="G46" s="736"/>
      <c r="H46" s="736"/>
      <c r="I46" s="736"/>
      <c r="J46" s="736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36.75" customHeight="1">
      <c r="A47" s="679" t="s">
        <v>1029</v>
      </c>
      <c r="B47" s="564" t="s">
        <v>213</v>
      </c>
      <c r="C47" s="769" t="s">
        <v>1021</v>
      </c>
      <c r="D47" s="769"/>
      <c r="E47" s="769"/>
      <c r="F47" s="769"/>
      <c r="G47" s="458" t="s">
        <v>176</v>
      </c>
      <c r="H47" s="566">
        <v>36</v>
      </c>
      <c r="I47" s="389"/>
      <c r="J47" s="662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</row>
    <row r="48" spans="1:68" s="204" customFormat="1" ht="22.5" customHeight="1">
      <c r="A48" s="64" t="s">
        <v>34</v>
      </c>
      <c r="B48" s="64" t="s">
        <v>21</v>
      </c>
      <c r="C48" s="736" t="s">
        <v>1078</v>
      </c>
      <c r="D48" s="736"/>
      <c r="E48" s="736"/>
      <c r="F48" s="736"/>
      <c r="G48" s="736"/>
      <c r="H48" s="736"/>
      <c r="I48" s="736"/>
      <c r="J48" s="736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0.75" hidden="1" customHeight="1">
      <c r="A49" s="289">
        <v>45</v>
      </c>
      <c r="B49" s="656" t="s">
        <v>816</v>
      </c>
      <c r="C49" s="771" t="s">
        <v>935</v>
      </c>
      <c r="D49" s="771"/>
      <c r="E49" s="771"/>
      <c r="F49" s="771"/>
      <c r="G49" s="289" t="s">
        <v>924</v>
      </c>
      <c r="H49" s="671" t="e">
        <f>SUM(#REF!)</f>
        <v>#REF!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6.75" hidden="1" customHeight="1">
      <c r="A50" s="775"/>
      <c r="B50" s="777"/>
      <c r="C50" s="774" t="s">
        <v>936</v>
      </c>
      <c r="D50" s="774"/>
      <c r="E50" s="774"/>
      <c r="F50" s="774"/>
      <c r="G50" s="775" t="s">
        <v>924</v>
      </c>
      <c r="H50" s="776" t="s">
        <v>34</v>
      </c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30" hidden="1" customHeight="1">
      <c r="A51" s="775"/>
      <c r="B51" s="777"/>
      <c r="C51" s="645" t="s">
        <v>713</v>
      </c>
      <c r="D51" s="652" t="e">
        <f>#REF!</f>
        <v>#REF!</v>
      </c>
      <c r="E51" s="290" t="s">
        <v>924</v>
      </c>
      <c r="F51" s="652" t="s">
        <v>716</v>
      </c>
      <c r="G51" s="775"/>
      <c r="H51" s="776"/>
      <c r="I51" s="674"/>
      <c r="J51" s="665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204" customFormat="1" ht="43.5" customHeight="1">
      <c r="A52" s="86">
        <v>10</v>
      </c>
      <c r="B52" s="564" t="s">
        <v>1008</v>
      </c>
      <c r="C52" s="778" t="s">
        <v>1079</v>
      </c>
      <c r="D52" s="778"/>
      <c r="E52" s="778"/>
      <c r="F52" s="778"/>
      <c r="G52" s="86" t="s">
        <v>176</v>
      </c>
      <c r="H52" s="77">
        <f>240*3*1.05</f>
        <v>756</v>
      </c>
      <c r="I52" s="77"/>
      <c r="J52" s="662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</row>
    <row r="53" spans="1:68" s="41" customFormat="1" ht="35.25" customHeight="1">
      <c r="A53" s="21"/>
      <c r="B53" s="448" t="s">
        <v>60</v>
      </c>
      <c r="C53" s="737" t="s">
        <v>183</v>
      </c>
      <c r="D53" s="737"/>
      <c r="E53" s="737"/>
      <c r="F53" s="737"/>
      <c r="G53" s="737"/>
      <c r="H53" s="737"/>
      <c r="I53" s="737"/>
      <c r="J53" s="737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</row>
    <row r="54" spans="1:68" s="8" customFormat="1" ht="19.5" customHeight="1">
      <c r="A54" s="64" t="s">
        <v>34</v>
      </c>
      <c r="B54" s="571" t="s">
        <v>23</v>
      </c>
      <c r="C54" s="736" t="s">
        <v>167</v>
      </c>
      <c r="D54" s="736"/>
      <c r="E54" s="736"/>
      <c r="F54" s="736"/>
      <c r="G54" s="736" t="s">
        <v>8</v>
      </c>
      <c r="H54" s="736"/>
      <c r="I54" s="736"/>
      <c r="J54" s="736"/>
    </row>
    <row r="55" spans="1:68" s="11" customFormat="1" ht="28.5" customHeight="1">
      <c r="A55" s="86">
        <v>11</v>
      </c>
      <c r="B55" s="432" t="s">
        <v>0</v>
      </c>
      <c r="C55" s="778" t="s">
        <v>74</v>
      </c>
      <c r="D55" s="778"/>
      <c r="E55" s="778"/>
      <c r="F55" s="778"/>
      <c r="G55" s="86" t="s">
        <v>176</v>
      </c>
      <c r="H55" s="87">
        <f>H9/2</f>
        <v>120</v>
      </c>
      <c r="I55" s="566"/>
      <c r="J55" s="662"/>
    </row>
    <row r="56" spans="1:68" s="8" customFormat="1" ht="38.25" hidden="1" customHeight="1">
      <c r="A56" s="779"/>
      <c r="B56" s="780"/>
      <c r="C56" s="781" t="s">
        <v>983</v>
      </c>
      <c r="D56" s="781"/>
      <c r="E56" s="781"/>
      <c r="F56" s="781"/>
      <c r="G56" s="772" t="s">
        <v>177</v>
      </c>
      <c r="H56" s="782" t="s">
        <v>34</v>
      </c>
      <c r="I56" s="106"/>
      <c r="J56" s="662" t="e">
        <f t="shared" ref="J56:J57" si="0">H56*I56</f>
        <v>#VALUE!</v>
      </c>
    </row>
    <row r="57" spans="1:68" s="8" customFormat="1" ht="16.5" hidden="1" customHeight="1">
      <c r="A57" s="779"/>
      <c r="B57" s="780"/>
      <c r="C57" s="672" t="s">
        <v>713</v>
      </c>
      <c r="D57" s="67" t="e">
        <f>#REF!</f>
        <v>#REF!</v>
      </c>
      <c r="E57" s="109" t="str">
        <f>G56</f>
        <v>m2</v>
      </c>
      <c r="F57" s="67" t="s">
        <v>715</v>
      </c>
      <c r="G57" s="772"/>
      <c r="H57" s="782"/>
      <c r="I57" s="106"/>
      <c r="J57" s="662">
        <f t="shared" si="0"/>
        <v>0</v>
      </c>
    </row>
    <row r="58" spans="1:68" s="8" customFormat="1" ht="19.5" customHeight="1">
      <c r="A58" s="64" t="s">
        <v>34</v>
      </c>
      <c r="B58" s="450" t="s">
        <v>976</v>
      </c>
      <c r="C58" s="736" t="s">
        <v>975</v>
      </c>
      <c r="D58" s="736"/>
      <c r="E58" s="736"/>
      <c r="F58" s="736"/>
      <c r="G58" s="736" t="s">
        <v>8</v>
      </c>
      <c r="H58" s="736"/>
      <c r="I58" s="736"/>
      <c r="J58" s="736"/>
    </row>
    <row r="59" spans="1:68" s="11" customFormat="1" ht="29.25" customHeight="1">
      <c r="A59" s="86">
        <v>12</v>
      </c>
      <c r="B59" s="432" t="s">
        <v>977</v>
      </c>
      <c r="C59" s="778" t="s">
        <v>1017</v>
      </c>
      <c r="D59" s="778"/>
      <c r="E59" s="778"/>
      <c r="F59" s="778"/>
      <c r="G59" s="86" t="s">
        <v>176</v>
      </c>
      <c r="H59" s="87">
        <f>240*2*0.5</f>
        <v>240</v>
      </c>
      <c r="I59" s="77"/>
      <c r="J59" s="662"/>
    </row>
    <row r="60" spans="1:68" ht="21" customHeight="1">
      <c r="A60" s="783" t="s">
        <v>1014</v>
      </c>
      <c r="B60" s="783"/>
      <c r="C60" s="783"/>
      <c r="D60" s="783"/>
      <c r="E60" s="783"/>
      <c r="F60" s="783"/>
      <c r="G60" s="783"/>
      <c r="H60" s="783"/>
      <c r="I60" s="783"/>
      <c r="J60" s="592"/>
    </row>
    <row r="61" spans="1:68" ht="21" customHeight="1">
      <c r="A61" s="783" t="s">
        <v>76</v>
      </c>
      <c r="B61" s="783"/>
      <c r="C61" s="783"/>
      <c r="D61" s="783"/>
      <c r="E61" s="783"/>
      <c r="F61" s="783"/>
      <c r="G61" s="783"/>
      <c r="H61" s="783"/>
      <c r="I61" s="783"/>
      <c r="J61" s="592"/>
    </row>
    <row r="62" spans="1:68" ht="21" customHeight="1">
      <c r="A62" s="783" t="s">
        <v>90</v>
      </c>
      <c r="B62" s="783"/>
      <c r="C62" s="783"/>
      <c r="D62" s="783"/>
      <c r="E62" s="783"/>
      <c r="F62" s="783"/>
      <c r="G62" s="783"/>
      <c r="H62" s="783"/>
      <c r="I62" s="783"/>
      <c r="J62" s="592"/>
    </row>
    <row r="63" spans="1:68" ht="21" customHeight="1">
      <c r="A63" s="553"/>
      <c r="B63" s="553"/>
      <c r="C63" s="554"/>
      <c r="D63" s="556"/>
      <c r="E63" s="555"/>
      <c r="F63" s="555"/>
      <c r="G63" s="500"/>
      <c r="H63" s="547"/>
    </row>
    <row r="64" spans="1:68" ht="12.75" customHeight="1">
      <c r="B64" s="494"/>
      <c r="C64" s="507"/>
      <c r="D64" s="504"/>
      <c r="E64" s="494"/>
      <c r="F64" s="526"/>
      <c r="G64" s="526"/>
    </row>
    <row r="65" spans="1:106" ht="12.75" customHeight="1">
      <c r="B65" s="494"/>
      <c r="C65" s="507"/>
      <c r="D65" s="504"/>
      <c r="E65" s="494"/>
      <c r="F65" s="526"/>
      <c r="G65" s="526"/>
    </row>
    <row r="66" spans="1:106" s="18" customFormat="1" ht="12.75" customHeight="1">
      <c r="A66" s="17"/>
      <c r="B66" s="494"/>
      <c r="C66" s="507"/>
      <c r="D66" s="504"/>
      <c r="E66" s="494"/>
      <c r="F66" s="526"/>
      <c r="G66" s="526"/>
      <c r="I66" s="40"/>
      <c r="J66" s="488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</row>
    <row r="67" spans="1:106" s="18" customFormat="1" ht="12.75" customHeight="1">
      <c r="A67" s="17"/>
      <c r="B67" s="494"/>
      <c r="C67" s="507"/>
      <c r="D67" s="504"/>
      <c r="E67" s="494"/>
      <c r="F67" s="526"/>
      <c r="G67" s="526"/>
      <c r="I67" s="40"/>
      <c r="J67" s="488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</row>
  </sheetData>
  <mergeCells count="93">
    <mergeCell ref="A6:A7"/>
    <mergeCell ref="B6:B7"/>
    <mergeCell ref="C6:F6"/>
    <mergeCell ref="G6:G7"/>
    <mergeCell ref="H6:H7"/>
    <mergeCell ref="A1:J1"/>
    <mergeCell ref="A2:J2"/>
    <mergeCell ref="C3:F3"/>
    <mergeCell ref="B4:J4"/>
    <mergeCell ref="C5:J5"/>
    <mergeCell ref="C8:J8"/>
    <mergeCell ref="C9:F9"/>
    <mergeCell ref="A10:A11"/>
    <mergeCell ref="B10:B11"/>
    <mergeCell ref="C10:F10"/>
    <mergeCell ref="G10:G11"/>
    <mergeCell ref="H10:H11"/>
    <mergeCell ref="C12:J12"/>
    <mergeCell ref="C13:F13"/>
    <mergeCell ref="A14:A15"/>
    <mergeCell ref="B14:B15"/>
    <mergeCell ref="C14:F14"/>
    <mergeCell ref="G14:G15"/>
    <mergeCell ref="H14:H15"/>
    <mergeCell ref="A20:A21"/>
    <mergeCell ref="B20:B21"/>
    <mergeCell ref="C20:F20"/>
    <mergeCell ref="G20:G21"/>
    <mergeCell ref="H20:H21"/>
    <mergeCell ref="C27:J27"/>
    <mergeCell ref="M14:P14"/>
    <mergeCell ref="C16:F16"/>
    <mergeCell ref="C17:J17"/>
    <mergeCell ref="C18:J18"/>
    <mergeCell ref="C19:F19"/>
    <mergeCell ref="C22:J22"/>
    <mergeCell ref="C23:J23"/>
    <mergeCell ref="C24:F24"/>
    <mergeCell ref="C25:J25"/>
    <mergeCell ref="C26:F26"/>
    <mergeCell ref="A37:A38"/>
    <mergeCell ref="B37:B38"/>
    <mergeCell ref="C37:F37"/>
    <mergeCell ref="G37:G38"/>
    <mergeCell ref="C29:F29"/>
    <mergeCell ref="C30:J30"/>
    <mergeCell ref="C31:H31"/>
    <mergeCell ref="C32:F32"/>
    <mergeCell ref="A33:A34"/>
    <mergeCell ref="B33:B34"/>
    <mergeCell ref="C33:F33"/>
    <mergeCell ref="G33:G34"/>
    <mergeCell ref="H33:H34"/>
    <mergeCell ref="A41:A42"/>
    <mergeCell ref="B41:B42"/>
    <mergeCell ref="C41:F41"/>
    <mergeCell ref="G41:G42"/>
    <mergeCell ref="H41:H42"/>
    <mergeCell ref="A44:A45"/>
    <mergeCell ref="B44:B45"/>
    <mergeCell ref="C44:F44"/>
    <mergeCell ref="G44:G45"/>
    <mergeCell ref="H44:H45"/>
    <mergeCell ref="A50:A51"/>
    <mergeCell ref="B50:B51"/>
    <mergeCell ref="C50:F50"/>
    <mergeCell ref="G50:G51"/>
    <mergeCell ref="H50:H51"/>
    <mergeCell ref="A56:A57"/>
    <mergeCell ref="B56:B57"/>
    <mergeCell ref="C56:F56"/>
    <mergeCell ref="G56:G57"/>
    <mergeCell ref="H56:H57"/>
    <mergeCell ref="C28:F28"/>
    <mergeCell ref="C52:F52"/>
    <mergeCell ref="C53:J53"/>
    <mergeCell ref="C54:J54"/>
    <mergeCell ref="C55:F55"/>
    <mergeCell ref="C46:J46"/>
    <mergeCell ref="C47:F47"/>
    <mergeCell ref="C48:J48"/>
    <mergeCell ref="C49:F49"/>
    <mergeCell ref="C43:F43"/>
    <mergeCell ref="H37:H38"/>
    <mergeCell ref="C39:F39"/>
    <mergeCell ref="C40:F40"/>
    <mergeCell ref="C35:F35"/>
    <mergeCell ref="C36:F36"/>
    <mergeCell ref="C58:J58"/>
    <mergeCell ref="C59:F59"/>
    <mergeCell ref="A60:I60"/>
    <mergeCell ref="A61:I61"/>
    <mergeCell ref="A62:I62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3"/>
  <sheetViews>
    <sheetView view="pageBreakPreview" zoomScaleNormal="100" zoomScaleSheetLayoutView="100" workbookViewId="0">
      <selection activeCell="A2" sqref="A2:J2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06" s="4" customFormat="1" ht="31.5" customHeight="1">
      <c r="A1" s="744" t="s">
        <v>1084</v>
      </c>
      <c r="B1" s="744"/>
      <c r="C1" s="744"/>
      <c r="D1" s="744"/>
      <c r="E1" s="744"/>
      <c r="F1" s="744"/>
      <c r="G1" s="744"/>
      <c r="H1" s="744"/>
      <c r="I1" s="744"/>
      <c r="J1" s="744"/>
    </row>
    <row r="2" spans="1:106" s="4" customFormat="1" ht="39" customHeight="1">
      <c r="A2" s="760" t="s">
        <v>1037</v>
      </c>
      <c r="B2" s="760"/>
      <c r="C2" s="760"/>
      <c r="D2" s="760"/>
      <c r="E2" s="760"/>
      <c r="F2" s="760"/>
      <c r="G2" s="760"/>
      <c r="H2" s="760"/>
      <c r="I2" s="760"/>
      <c r="J2" s="760"/>
    </row>
    <row r="3" spans="1:106" ht="45" customHeight="1">
      <c r="A3" s="74" t="s">
        <v>3</v>
      </c>
      <c r="B3" s="449" t="s">
        <v>199</v>
      </c>
      <c r="C3" s="755" t="s">
        <v>4</v>
      </c>
      <c r="D3" s="755"/>
      <c r="E3" s="755"/>
      <c r="F3" s="755"/>
      <c r="G3" s="74" t="s">
        <v>5</v>
      </c>
      <c r="H3" s="22" t="s">
        <v>6</v>
      </c>
      <c r="I3" s="389" t="s">
        <v>66</v>
      </c>
      <c r="J3" s="389" t="s">
        <v>67</v>
      </c>
    </row>
    <row r="4" spans="1:106" ht="20.25" customHeight="1">
      <c r="A4" s="376"/>
      <c r="B4" s="761" t="s">
        <v>1006</v>
      </c>
      <c r="C4" s="761"/>
      <c r="D4" s="761"/>
      <c r="E4" s="761"/>
      <c r="F4" s="761"/>
      <c r="G4" s="761"/>
      <c r="H4" s="761"/>
      <c r="I4" s="761"/>
      <c r="J4" s="761"/>
    </row>
    <row r="5" spans="1:106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</row>
    <row r="6" spans="1:106" ht="44.25" hidden="1" customHeight="1">
      <c r="A6" s="755"/>
      <c r="B6" s="756"/>
      <c r="C6" s="757" t="s">
        <v>733</v>
      </c>
      <c r="D6" s="757"/>
      <c r="E6" s="757"/>
      <c r="F6" s="757"/>
      <c r="G6" s="758" t="s">
        <v>177</v>
      </c>
      <c r="H6" s="759" t="s">
        <v>34</v>
      </c>
      <c r="I6" s="377"/>
      <c r="J6" s="521"/>
    </row>
    <row r="7" spans="1:106" ht="21.75" hidden="1" customHeight="1">
      <c r="A7" s="755"/>
      <c r="B7" s="756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58"/>
      <c r="H7" s="759"/>
      <c r="I7" s="377"/>
      <c r="J7" s="521"/>
    </row>
    <row r="8" spans="1:106" ht="18" customHeight="1">
      <c r="A8" s="64" t="s">
        <v>34</v>
      </c>
      <c r="B8" s="571" t="s">
        <v>14</v>
      </c>
      <c r="C8" s="736" t="s">
        <v>108</v>
      </c>
      <c r="D8" s="736"/>
      <c r="E8" s="736"/>
      <c r="F8" s="736"/>
      <c r="G8" s="736"/>
      <c r="H8" s="736"/>
      <c r="I8" s="736"/>
      <c r="J8" s="736"/>
    </row>
    <row r="9" spans="1:106" s="14" customFormat="1" ht="31.5" customHeight="1">
      <c r="A9" s="74">
        <v>1</v>
      </c>
      <c r="B9" s="449" t="s">
        <v>952</v>
      </c>
      <c r="C9" s="762" t="s">
        <v>1018</v>
      </c>
      <c r="D9" s="762"/>
      <c r="E9" s="762"/>
      <c r="F9" s="762"/>
      <c r="G9" s="74" t="s">
        <v>176</v>
      </c>
      <c r="H9" s="78">
        <f>55*1</f>
        <v>55</v>
      </c>
      <c r="I9" s="78"/>
      <c r="J9" s="662"/>
    </row>
    <row r="10" spans="1:106" ht="54" hidden="1" customHeight="1">
      <c r="A10" s="755"/>
      <c r="B10" s="763"/>
      <c r="C10" s="764" t="s">
        <v>969</v>
      </c>
      <c r="D10" s="764"/>
      <c r="E10" s="764"/>
      <c r="F10" s="764"/>
      <c r="G10" s="758" t="s">
        <v>177</v>
      </c>
      <c r="H10" s="765" t="s">
        <v>34</v>
      </c>
      <c r="I10" s="377"/>
      <c r="J10" s="521"/>
    </row>
    <row r="11" spans="1:106" ht="21" hidden="1" customHeight="1">
      <c r="A11" s="755"/>
      <c r="B11" s="763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58"/>
      <c r="H11" s="765"/>
      <c r="I11" s="377"/>
      <c r="J11" s="521"/>
    </row>
    <row r="12" spans="1:106" ht="17.25" customHeight="1">
      <c r="A12" s="64" t="s">
        <v>34</v>
      </c>
      <c r="B12" s="571" t="s">
        <v>15</v>
      </c>
      <c r="C12" s="736" t="s">
        <v>10</v>
      </c>
      <c r="D12" s="736"/>
      <c r="E12" s="736"/>
      <c r="F12" s="736"/>
      <c r="G12" s="736"/>
      <c r="H12" s="736"/>
      <c r="I12" s="736"/>
      <c r="J12" s="736"/>
      <c r="R12" s="40">
        <v>13</v>
      </c>
    </row>
    <row r="13" spans="1:106" ht="25.5" hidden="1" customHeight="1">
      <c r="A13" s="786"/>
      <c r="B13" s="787"/>
      <c r="C13" s="788" t="s">
        <v>974</v>
      </c>
      <c r="D13" s="788"/>
      <c r="E13" s="788"/>
      <c r="F13" s="788"/>
      <c r="G13" s="789" t="s">
        <v>920</v>
      </c>
      <c r="H13" s="790" t="s">
        <v>34</v>
      </c>
      <c r="I13" s="377"/>
      <c r="J13" s="521"/>
      <c r="M13" s="784"/>
      <c r="N13" s="784"/>
      <c r="O13" s="784"/>
      <c r="P13" s="784"/>
    </row>
    <row r="14" spans="1:106" ht="20.25" hidden="1" customHeight="1">
      <c r="A14" s="786"/>
      <c r="B14" s="787"/>
      <c r="C14" s="645" t="s">
        <v>713</v>
      </c>
      <c r="D14" s="652" t="e">
        <f>#REF!</f>
        <v>#REF!</v>
      </c>
      <c r="E14" s="290" t="s">
        <v>708</v>
      </c>
      <c r="F14" s="652" t="s">
        <v>718</v>
      </c>
      <c r="G14" s="789"/>
      <c r="H14" s="790"/>
      <c r="I14" s="377"/>
      <c r="J14" s="521"/>
    </row>
    <row r="15" spans="1:106" ht="35.25" customHeight="1">
      <c r="A15" s="74">
        <v>2</v>
      </c>
      <c r="B15" s="641" t="s">
        <v>31</v>
      </c>
      <c r="C15" s="785" t="s">
        <v>1019</v>
      </c>
      <c r="D15" s="785"/>
      <c r="E15" s="785"/>
      <c r="F15" s="785"/>
      <c r="G15" s="74" t="s">
        <v>176</v>
      </c>
      <c r="H15" s="78">
        <v>16</v>
      </c>
      <c r="I15" s="78"/>
      <c r="J15" s="662"/>
    </row>
    <row r="16" spans="1:106" s="15" customFormat="1" ht="54" hidden="1" customHeight="1">
      <c r="A16" s="755"/>
      <c r="B16" s="766"/>
      <c r="C16" s="764" t="s">
        <v>978</v>
      </c>
      <c r="D16" s="764"/>
      <c r="E16" s="764"/>
      <c r="F16" s="764"/>
      <c r="G16" s="758" t="s">
        <v>178</v>
      </c>
      <c r="H16" s="767" t="s">
        <v>34</v>
      </c>
      <c r="I16" s="632"/>
      <c r="J16" s="666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</row>
    <row r="17" spans="1:106" s="15" customFormat="1" ht="18" hidden="1" customHeight="1">
      <c r="A17" s="755"/>
      <c r="B17" s="766"/>
      <c r="C17" s="672" t="s">
        <v>714</v>
      </c>
      <c r="D17" s="67" t="e">
        <f>#REF!</f>
        <v>#REF!</v>
      </c>
      <c r="E17" s="109" t="str">
        <f>G16</f>
        <v>m3</v>
      </c>
      <c r="F17" s="67" t="s">
        <v>716</v>
      </c>
      <c r="G17" s="758"/>
      <c r="H17" s="767"/>
      <c r="I17" s="632"/>
      <c r="J17" s="666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</row>
    <row r="18" spans="1:106" s="3" customFormat="1" ht="31.5" customHeight="1">
      <c r="A18" s="21"/>
      <c r="B18" s="448" t="s">
        <v>57</v>
      </c>
      <c r="C18" s="737" t="s">
        <v>181</v>
      </c>
      <c r="D18" s="737"/>
      <c r="E18" s="737"/>
      <c r="F18" s="737"/>
      <c r="G18" s="737"/>
      <c r="H18" s="737"/>
      <c r="I18" s="737"/>
      <c r="J18" s="737"/>
    </row>
    <row r="19" spans="1:106" s="1" customFormat="1" ht="18" customHeight="1">
      <c r="A19" s="64" t="s">
        <v>34</v>
      </c>
      <c r="B19" s="571" t="s">
        <v>98</v>
      </c>
      <c r="C19" s="736" t="s">
        <v>99</v>
      </c>
      <c r="D19" s="736"/>
      <c r="E19" s="736"/>
      <c r="F19" s="736"/>
      <c r="G19" s="736"/>
      <c r="H19" s="736"/>
      <c r="I19" s="736"/>
      <c r="J19" s="736"/>
    </row>
    <row r="20" spans="1:106" s="1" customFormat="1" ht="33" customHeight="1">
      <c r="A20" s="86">
        <v>3</v>
      </c>
      <c r="B20" s="431" t="s">
        <v>970</v>
      </c>
      <c r="C20" s="778" t="s">
        <v>1026</v>
      </c>
      <c r="D20" s="778"/>
      <c r="E20" s="778"/>
      <c r="F20" s="778"/>
      <c r="G20" s="86" t="s">
        <v>176</v>
      </c>
      <c r="H20" s="87">
        <f>55*1</f>
        <v>55</v>
      </c>
      <c r="I20" s="566"/>
      <c r="J20" s="662"/>
    </row>
    <row r="21" spans="1:106" s="1" customFormat="1" ht="33" customHeight="1">
      <c r="A21" s="64" t="s">
        <v>34</v>
      </c>
      <c r="B21" s="571" t="s">
        <v>114</v>
      </c>
      <c r="C21" s="736" t="s">
        <v>1024</v>
      </c>
      <c r="D21" s="736"/>
      <c r="E21" s="736"/>
      <c r="F21" s="736"/>
      <c r="G21" s="736"/>
      <c r="H21" s="736"/>
      <c r="I21" s="736"/>
      <c r="J21" s="736"/>
    </row>
    <row r="22" spans="1:106" s="1" customFormat="1" ht="33" customHeight="1">
      <c r="A22" s="86">
        <v>4</v>
      </c>
      <c r="B22" s="564" t="s">
        <v>162</v>
      </c>
      <c r="C22" s="778" t="s">
        <v>1023</v>
      </c>
      <c r="D22" s="778"/>
      <c r="E22" s="778"/>
      <c r="F22" s="778"/>
      <c r="G22" s="86" t="s">
        <v>176</v>
      </c>
      <c r="H22" s="87">
        <f>55*1</f>
        <v>55</v>
      </c>
      <c r="I22" s="566"/>
      <c r="J22" s="662"/>
    </row>
    <row r="23" spans="1:106" s="8" customFormat="1" ht="18" customHeight="1">
      <c r="A23" s="64" t="s">
        <v>34</v>
      </c>
      <c r="B23" s="571" t="s">
        <v>972</v>
      </c>
      <c r="C23" s="736" t="s">
        <v>20</v>
      </c>
      <c r="D23" s="736"/>
      <c r="E23" s="736"/>
      <c r="F23" s="736"/>
      <c r="G23" s="736"/>
      <c r="H23" s="736"/>
      <c r="I23" s="736"/>
      <c r="J23" s="736"/>
    </row>
    <row r="24" spans="1:106" s="8" customFormat="1" ht="45.75" customHeight="1">
      <c r="A24" s="86">
        <v>5</v>
      </c>
      <c r="B24" s="623" t="s">
        <v>1028</v>
      </c>
      <c r="C24" s="769" t="s">
        <v>1027</v>
      </c>
      <c r="D24" s="769"/>
      <c r="E24" s="769"/>
      <c r="F24" s="769"/>
      <c r="G24" s="86" t="s">
        <v>176</v>
      </c>
      <c r="H24" s="87">
        <f>55*3.2</f>
        <v>176</v>
      </c>
      <c r="I24" s="566"/>
      <c r="J24" s="662"/>
    </row>
    <row r="25" spans="1:106" s="8" customFormat="1" ht="34.5" customHeight="1">
      <c r="A25" s="86">
        <v>6</v>
      </c>
      <c r="B25" s="623" t="s">
        <v>984</v>
      </c>
      <c r="C25" s="769" t="s">
        <v>485</v>
      </c>
      <c r="D25" s="769"/>
      <c r="E25" s="769"/>
      <c r="F25" s="769"/>
      <c r="G25" s="86" t="s">
        <v>176</v>
      </c>
      <c r="H25" s="87">
        <f>55*1</f>
        <v>55</v>
      </c>
      <c r="I25" s="566"/>
      <c r="J25" s="662"/>
    </row>
    <row r="26" spans="1:106" s="8" customFormat="1" ht="33" customHeight="1">
      <c r="A26" s="524"/>
      <c r="B26" s="524" t="s">
        <v>59</v>
      </c>
      <c r="C26" s="770" t="s">
        <v>182</v>
      </c>
      <c r="D26" s="770"/>
      <c r="E26" s="770"/>
      <c r="F26" s="770"/>
      <c r="G26" s="770"/>
      <c r="H26" s="770"/>
      <c r="I26" s="770"/>
      <c r="J26" s="770"/>
    </row>
    <row r="27" spans="1:106" s="16" customFormat="1" ht="25.5" hidden="1" customHeight="1">
      <c r="A27" s="64" t="s">
        <v>34</v>
      </c>
      <c r="B27" s="276" t="s">
        <v>116</v>
      </c>
      <c r="C27" s="741" t="s">
        <v>776</v>
      </c>
      <c r="D27" s="741"/>
      <c r="E27" s="741"/>
      <c r="F27" s="741"/>
      <c r="G27" s="741" t="s">
        <v>8</v>
      </c>
      <c r="H27" s="741"/>
      <c r="I27" s="673"/>
      <c r="J27" s="669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</row>
    <row r="28" spans="1:106" s="204" customFormat="1" ht="29.25" hidden="1" customHeight="1">
      <c r="A28" s="86">
        <v>27</v>
      </c>
      <c r="B28" s="650" t="s">
        <v>116</v>
      </c>
      <c r="C28" s="771" t="s">
        <v>820</v>
      </c>
      <c r="D28" s="771"/>
      <c r="E28" s="771"/>
      <c r="F28" s="771"/>
      <c r="G28" s="289" t="s">
        <v>919</v>
      </c>
      <c r="H28" s="671" t="e">
        <f>SUM(#REF!)</f>
        <v>#REF!</v>
      </c>
      <c r="I28" s="674"/>
      <c r="J28" s="665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</row>
    <row r="29" spans="1:106" s="204" customFormat="1" ht="29.25" hidden="1" customHeight="1">
      <c r="A29" s="772"/>
      <c r="B29" s="773"/>
      <c r="C29" s="774" t="s">
        <v>778</v>
      </c>
      <c r="D29" s="774"/>
      <c r="E29" s="774"/>
      <c r="F29" s="774"/>
      <c r="G29" s="775" t="s">
        <v>920</v>
      </c>
      <c r="H29" s="776" t="s">
        <v>34</v>
      </c>
      <c r="I29" s="674"/>
      <c r="J29" s="665"/>
      <c r="K29" s="59"/>
      <c r="L29" s="59" t="s">
        <v>1081</v>
      </c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</row>
    <row r="30" spans="1:106" s="204" customFormat="1" ht="20.25" hidden="1" customHeight="1">
      <c r="A30" s="772"/>
      <c r="B30" s="773"/>
      <c r="C30" s="645" t="s">
        <v>713</v>
      </c>
      <c r="D30" s="652" t="e">
        <f>#REF!</f>
        <v>#REF!</v>
      </c>
      <c r="E30" s="290" t="str">
        <f>G29</f>
        <v>m2</v>
      </c>
      <c r="F30" s="652" t="s">
        <v>716</v>
      </c>
      <c r="G30" s="775"/>
      <c r="H30" s="776"/>
      <c r="I30" s="674"/>
      <c r="J30" s="665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</row>
    <row r="31" spans="1:106" s="204" customFormat="1" ht="20.25" hidden="1" customHeight="1">
      <c r="A31" s="276" t="s">
        <v>34</v>
      </c>
      <c r="B31" s="276" t="s">
        <v>845</v>
      </c>
      <c r="C31" s="741" t="s">
        <v>847</v>
      </c>
      <c r="D31" s="741" t="s">
        <v>8</v>
      </c>
      <c r="E31" s="741"/>
      <c r="F31" s="741"/>
      <c r="G31" s="655" t="s">
        <v>8</v>
      </c>
      <c r="H31" s="655"/>
      <c r="I31" s="674"/>
      <c r="J31" s="66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</row>
    <row r="32" spans="1:106" s="204" customFormat="1" ht="36" hidden="1" customHeight="1">
      <c r="A32" s="593">
        <v>44</v>
      </c>
      <c r="B32" s="656" t="s">
        <v>846</v>
      </c>
      <c r="C32" s="771" t="s">
        <v>915</v>
      </c>
      <c r="D32" s="771"/>
      <c r="E32" s="771"/>
      <c r="F32" s="771"/>
      <c r="G32" s="289" t="s">
        <v>919</v>
      </c>
      <c r="H32" s="671" t="e">
        <f>SUM(#REF!)</f>
        <v>#REF!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45.75" hidden="1" customHeight="1">
      <c r="A33" s="775"/>
      <c r="B33" s="773"/>
      <c r="C33" s="774" t="s">
        <v>940</v>
      </c>
      <c r="D33" s="774"/>
      <c r="E33" s="774"/>
      <c r="F33" s="774"/>
      <c r="G33" s="775" t="s">
        <v>920</v>
      </c>
      <c r="H33" s="776" t="s">
        <v>34</v>
      </c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4.75" hidden="1" customHeight="1">
      <c r="A34" s="775"/>
      <c r="B34" s="773"/>
      <c r="C34" s="645" t="s">
        <v>713</v>
      </c>
      <c r="D34" s="652" t="e">
        <f>#REF!</f>
        <v>#REF!</v>
      </c>
      <c r="E34" s="290" t="str">
        <f>G33</f>
        <v>m2</v>
      </c>
      <c r="F34" s="652" t="s">
        <v>811</v>
      </c>
      <c r="G34" s="775"/>
      <c r="H34" s="776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34.5" hidden="1" customHeight="1">
      <c r="A35" s="64" t="s">
        <v>34</v>
      </c>
      <c r="B35" s="276" t="s">
        <v>848</v>
      </c>
      <c r="C35" s="741" t="s">
        <v>849</v>
      </c>
      <c r="D35" s="741" t="s">
        <v>8</v>
      </c>
      <c r="E35" s="741"/>
      <c r="F35" s="741"/>
      <c r="G35" s="655" t="s">
        <v>8</v>
      </c>
      <c r="H35" s="655"/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20.25" hidden="1" customHeight="1">
      <c r="A36" s="458">
        <v>29</v>
      </c>
      <c r="B36" s="656" t="s">
        <v>846</v>
      </c>
      <c r="C36" s="771" t="s">
        <v>844</v>
      </c>
      <c r="D36" s="771"/>
      <c r="E36" s="771"/>
      <c r="F36" s="771"/>
      <c r="G36" s="289" t="s">
        <v>919</v>
      </c>
      <c r="H36" s="671" t="e">
        <f>SUM(#REF!)</f>
        <v>#REF!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47.25" hidden="1" customHeight="1">
      <c r="A37" s="772"/>
      <c r="B37" s="773"/>
      <c r="C37" s="774" t="s">
        <v>843</v>
      </c>
      <c r="D37" s="774"/>
      <c r="E37" s="774"/>
      <c r="F37" s="774"/>
      <c r="G37" s="775" t="s">
        <v>920</v>
      </c>
      <c r="H37" s="776" t="s">
        <v>34</v>
      </c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20.25" hidden="1" customHeight="1">
      <c r="A38" s="772"/>
      <c r="B38" s="773"/>
      <c r="C38" s="645" t="s">
        <v>713</v>
      </c>
      <c r="D38" s="652" t="e">
        <f>#REF!</f>
        <v>#REF!</v>
      </c>
      <c r="E38" s="290" t="str">
        <f>G37</f>
        <v>m2</v>
      </c>
      <c r="F38" s="652" t="s">
        <v>811</v>
      </c>
      <c r="G38" s="775"/>
      <c r="H38" s="776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20.25" hidden="1" customHeight="1">
      <c r="A39" s="458">
        <v>30</v>
      </c>
      <c r="B39" s="656" t="s">
        <v>851</v>
      </c>
      <c r="C39" s="771" t="s">
        <v>852</v>
      </c>
      <c r="D39" s="771"/>
      <c r="E39" s="771"/>
      <c r="F39" s="771"/>
      <c r="G39" s="289" t="s">
        <v>919</v>
      </c>
      <c r="H39" s="671" t="e">
        <f>SUM(#REF!)</f>
        <v>#REF!</v>
      </c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45.75" hidden="1" customHeight="1">
      <c r="A40" s="772"/>
      <c r="B40" s="773"/>
      <c r="C40" s="774" t="s">
        <v>853</v>
      </c>
      <c r="D40" s="774"/>
      <c r="E40" s="774"/>
      <c r="F40" s="774"/>
      <c r="G40" s="775" t="s">
        <v>920</v>
      </c>
      <c r="H40" s="776" t="s">
        <v>34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20.25" hidden="1" customHeight="1">
      <c r="A41" s="772"/>
      <c r="B41" s="773"/>
      <c r="C41" s="645" t="s">
        <v>713</v>
      </c>
      <c r="D41" s="652" t="e">
        <f>#REF!</f>
        <v>#REF!</v>
      </c>
      <c r="E41" s="290" t="str">
        <f>G40</f>
        <v>m2</v>
      </c>
      <c r="F41" s="652" t="s">
        <v>811</v>
      </c>
      <c r="G41" s="775"/>
      <c r="H41" s="776"/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customHeight="1">
      <c r="A42" s="571"/>
      <c r="B42" s="64" t="s">
        <v>116</v>
      </c>
      <c r="C42" s="736" t="s">
        <v>776</v>
      </c>
      <c r="D42" s="736"/>
      <c r="E42" s="736"/>
      <c r="F42" s="736"/>
      <c r="G42" s="736"/>
      <c r="H42" s="736"/>
      <c r="I42" s="736"/>
      <c r="J42" s="736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36.75" customHeight="1">
      <c r="A43" s="679" t="s">
        <v>1038</v>
      </c>
      <c r="B43" s="564" t="s">
        <v>213</v>
      </c>
      <c r="C43" s="769" t="s">
        <v>1021</v>
      </c>
      <c r="D43" s="769"/>
      <c r="E43" s="769"/>
      <c r="F43" s="769"/>
      <c r="G43" s="458" t="s">
        <v>176</v>
      </c>
      <c r="H43" s="566">
        <v>10</v>
      </c>
      <c r="I43" s="389"/>
      <c r="J43" s="662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22.5" customHeight="1">
      <c r="A44" s="64" t="s">
        <v>34</v>
      </c>
      <c r="B44" s="64" t="s">
        <v>21</v>
      </c>
      <c r="C44" s="736" t="s">
        <v>1078</v>
      </c>
      <c r="D44" s="736"/>
      <c r="E44" s="736"/>
      <c r="F44" s="736"/>
      <c r="G44" s="736"/>
      <c r="H44" s="736"/>
      <c r="I44" s="736"/>
      <c r="J44" s="736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8" s="204" customFormat="1" ht="30.75" hidden="1" customHeight="1">
      <c r="A45" s="289">
        <v>45</v>
      </c>
      <c r="B45" s="656" t="s">
        <v>816</v>
      </c>
      <c r="C45" s="771" t="s">
        <v>935</v>
      </c>
      <c r="D45" s="771"/>
      <c r="E45" s="771"/>
      <c r="F45" s="771"/>
      <c r="G45" s="289" t="s">
        <v>924</v>
      </c>
      <c r="H45" s="671" t="e">
        <f>SUM(#REF!)</f>
        <v>#REF!</v>
      </c>
      <c r="I45" s="674"/>
      <c r="J45" s="665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8" s="204" customFormat="1" ht="36.75" hidden="1" customHeight="1">
      <c r="A46" s="775"/>
      <c r="B46" s="777"/>
      <c r="C46" s="774" t="s">
        <v>936</v>
      </c>
      <c r="D46" s="774"/>
      <c r="E46" s="774"/>
      <c r="F46" s="774"/>
      <c r="G46" s="775" t="s">
        <v>924</v>
      </c>
      <c r="H46" s="776" t="s">
        <v>34</v>
      </c>
      <c r="I46" s="674"/>
      <c r="J46" s="665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8" s="204" customFormat="1" ht="30" hidden="1" customHeight="1">
      <c r="A47" s="775"/>
      <c r="B47" s="777"/>
      <c r="C47" s="645" t="s">
        <v>713</v>
      </c>
      <c r="D47" s="652" t="e">
        <f>#REF!</f>
        <v>#REF!</v>
      </c>
      <c r="E47" s="290" t="s">
        <v>924</v>
      </c>
      <c r="F47" s="652" t="s">
        <v>716</v>
      </c>
      <c r="G47" s="775"/>
      <c r="H47" s="776"/>
      <c r="I47" s="674"/>
      <c r="J47" s="665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8" s="204" customFormat="1" ht="43.5" customHeight="1">
      <c r="A48" s="86">
        <v>8</v>
      </c>
      <c r="B48" s="564" t="s">
        <v>1008</v>
      </c>
      <c r="C48" s="778" t="s">
        <v>1079</v>
      </c>
      <c r="D48" s="778"/>
      <c r="E48" s="778"/>
      <c r="F48" s="778"/>
      <c r="G48" s="86" t="s">
        <v>176</v>
      </c>
      <c r="H48" s="77">
        <f>55*3*1.05</f>
        <v>173.25</v>
      </c>
      <c r="I48" s="77"/>
      <c r="J48" s="662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41" customFormat="1" ht="35.25" customHeight="1">
      <c r="A49" s="21"/>
      <c r="B49" s="448" t="s">
        <v>60</v>
      </c>
      <c r="C49" s="737" t="s">
        <v>183</v>
      </c>
      <c r="D49" s="737"/>
      <c r="E49" s="737"/>
      <c r="F49" s="737"/>
      <c r="G49" s="737"/>
      <c r="H49" s="737"/>
      <c r="I49" s="737"/>
      <c r="J49" s="737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</row>
    <row r="50" spans="1:68" s="8" customFormat="1" ht="19.5" customHeight="1">
      <c r="A50" s="64" t="s">
        <v>34</v>
      </c>
      <c r="B50" s="571" t="s">
        <v>23</v>
      </c>
      <c r="C50" s="736" t="s">
        <v>167</v>
      </c>
      <c r="D50" s="736"/>
      <c r="E50" s="736"/>
      <c r="F50" s="736"/>
      <c r="G50" s="736" t="s">
        <v>8</v>
      </c>
      <c r="H50" s="736"/>
      <c r="I50" s="736"/>
      <c r="J50" s="736"/>
    </row>
    <row r="51" spans="1:68" s="11" customFormat="1" ht="28.5" customHeight="1">
      <c r="A51" s="86">
        <v>9</v>
      </c>
      <c r="B51" s="432" t="s">
        <v>0</v>
      </c>
      <c r="C51" s="778" t="s">
        <v>74</v>
      </c>
      <c r="D51" s="778"/>
      <c r="E51" s="778"/>
      <c r="F51" s="778"/>
      <c r="G51" s="86" t="s">
        <v>176</v>
      </c>
      <c r="H51" s="87">
        <f>H9/2</f>
        <v>27.5</v>
      </c>
      <c r="I51" s="566"/>
      <c r="J51" s="662"/>
    </row>
    <row r="52" spans="1:68" s="8" customFormat="1" ht="38.25" hidden="1" customHeight="1">
      <c r="A52" s="779"/>
      <c r="B52" s="780"/>
      <c r="C52" s="781" t="s">
        <v>983</v>
      </c>
      <c r="D52" s="781"/>
      <c r="E52" s="781"/>
      <c r="F52" s="781"/>
      <c r="G52" s="772" t="s">
        <v>177</v>
      </c>
      <c r="H52" s="782" t="s">
        <v>34</v>
      </c>
      <c r="I52" s="106"/>
      <c r="J52" s="662" t="e">
        <f t="shared" ref="J52:J53" si="0">H52*I52</f>
        <v>#VALUE!</v>
      </c>
    </row>
    <row r="53" spans="1:68" s="8" customFormat="1" ht="16.5" hidden="1" customHeight="1">
      <c r="A53" s="779"/>
      <c r="B53" s="780"/>
      <c r="C53" s="672" t="s">
        <v>713</v>
      </c>
      <c r="D53" s="67" t="e">
        <f>#REF!</f>
        <v>#REF!</v>
      </c>
      <c r="E53" s="109" t="str">
        <f>G52</f>
        <v>m2</v>
      </c>
      <c r="F53" s="67" t="s">
        <v>715</v>
      </c>
      <c r="G53" s="772"/>
      <c r="H53" s="782"/>
      <c r="I53" s="106"/>
      <c r="J53" s="662">
        <f t="shared" si="0"/>
        <v>0</v>
      </c>
    </row>
    <row r="54" spans="1:68" s="8" customFormat="1" ht="19.5" customHeight="1">
      <c r="A54" s="64" t="s">
        <v>34</v>
      </c>
      <c r="B54" s="450" t="s">
        <v>976</v>
      </c>
      <c r="C54" s="736" t="s">
        <v>975</v>
      </c>
      <c r="D54" s="736"/>
      <c r="E54" s="736"/>
      <c r="F54" s="736"/>
      <c r="G54" s="736" t="s">
        <v>8</v>
      </c>
      <c r="H54" s="736"/>
      <c r="I54" s="736"/>
      <c r="J54" s="736"/>
    </row>
    <row r="55" spans="1:68" s="11" customFormat="1" ht="29.25" customHeight="1">
      <c r="A55" s="86">
        <v>10</v>
      </c>
      <c r="B55" s="432" t="s">
        <v>977</v>
      </c>
      <c r="C55" s="778" t="s">
        <v>1013</v>
      </c>
      <c r="D55" s="778"/>
      <c r="E55" s="778"/>
      <c r="F55" s="778"/>
      <c r="G55" s="86" t="s">
        <v>176</v>
      </c>
      <c r="H55" s="87">
        <f>55*2*0.3</f>
        <v>33</v>
      </c>
      <c r="I55" s="77"/>
      <c r="J55" s="662"/>
    </row>
    <row r="56" spans="1:68" ht="21" customHeight="1">
      <c r="A56" s="783" t="s">
        <v>1014</v>
      </c>
      <c r="B56" s="783"/>
      <c r="C56" s="783"/>
      <c r="D56" s="783"/>
      <c r="E56" s="783"/>
      <c r="F56" s="783"/>
      <c r="G56" s="783"/>
      <c r="H56" s="783"/>
      <c r="I56" s="783"/>
      <c r="J56" s="592"/>
    </row>
    <row r="57" spans="1:68" ht="21" customHeight="1">
      <c r="A57" s="783" t="s">
        <v>76</v>
      </c>
      <c r="B57" s="783"/>
      <c r="C57" s="783"/>
      <c r="D57" s="783"/>
      <c r="E57" s="783"/>
      <c r="F57" s="783"/>
      <c r="G57" s="783"/>
      <c r="H57" s="783"/>
      <c r="I57" s="783"/>
      <c r="J57" s="592"/>
    </row>
    <row r="58" spans="1:68" ht="21" customHeight="1">
      <c r="A58" s="783" t="s">
        <v>90</v>
      </c>
      <c r="B58" s="783"/>
      <c r="C58" s="783"/>
      <c r="D58" s="783"/>
      <c r="E58" s="783"/>
      <c r="F58" s="783"/>
      <c r="G58" s="783"/>
      <c r="H58" s="783"/>
      <c r="I58" s="783"/>
      <c r="J58" s="592"/>
    </row>
    <row r="59" spans="1:68" ht="21" customHeight="1">
      <c r="A59" s="553"/>
      <c r="B59" s="553"/>
      <c r="C59" s="554"/>
      <c r="D59" s="556"/>
      <c r="E59" s="555"/>
      <c r="F59" s="555"/>
      <c r="G59" s="500"/>
      <c r="H59" s="547"/>
    </row>
    <row r="60" spans="1:68" ht="12.75" customHeight="1">
      <c r="B60" s="494"/>
      <c r="C60" s="507"/>
      <c r="D60" s="504"/>
      <c r="E60" s="494"/>
      <c r="F60" s="526"/>
      <c r="G60" s="526"/>
    </row>
    <row r="61" spans="1:68" ht="12.75" customHeight="1">
      <c r="B61" s="494"/>
      <c r="C61" s="507"/>
      <c r="D61" s="504"/>
      <c r="E61" s="494"/>
      <c r="F61" s="526"/>
      <c r="G61" s="526"/>
    </row>
    <row r="62" spans="1:68" ht="12.75" customHeight="1">
      <c r="B62" s="494"/>
      <c r="C62" s="507"/>
      <c r="D62" s="504"/>
      <c r="E62" s="494"/>
      <c r="F62" s="526"/>
      <c r="G62" s="526"/>
    </row>
    <row r="63" spans="1:68" ht="12.75" customHeight="1">
      <c r="B63" s="494"/>
      <c r="C63" s="507"/>
      <c r="D63" s="504"/>
      <c r="E63" s="494"/>
      <c r="F63" s="526"/>
      <c r="G63" s="526"/>
    </row>
  </sheetData>
  <mergeCells count="89">
    <mergeCell ref="A6:A7"/>
    <mergeCell ref="B6:B7"/>
    <mergeCell ref="C6:F6"/>
    <mergeCell ref="G6:G7"/>
    <mergeCell ref="H6:H7"/>
    <mergeCell ref="A1:J1"/>
    <mergeCell ref="A2:J2"/>
    <mergeCell ref="C3:F3"/>
    <mergeCell ref="B4:J4"/>
    <mergeCell ref="C5:J5"/>
    <mergeCell ref="C8:J8"/>
    <mergeCell ref="C9:F9"/>
    <mergeCell ref="A10:A11"/>
    <mergeCell ref="B10:B11"/>
    <mergeCell ref="C10:F10"/>
    <mergeCell ref="G10:G11"/>
    <mergeCell ref="H10:H11"/>
    <mergeCell ref="C12:J12"/>
    <mergeCell ref="A13:A14"/>
    <mergeCell ref="B13:B14"/>
    <mergeCell ref="C13:F13"/>
    <mergeCell ref="G13:G14"/>
    <mergeCell ref="H13:H14"/>
    <mergeCell ref="C23:J23"/>
    <mergeCell ref="M13:P13"/>
    <mergeCell ref="C15:F15"/>
    <mergeCell ref="A16:A17"/>
    <mergeCell ref="B16:B17"/>
    <mergeCell ref="C16:F16"/>
    <mergeCell ref="G16:G17"/>
    <mergeCell ref="H16:H17"/>
    <mergeCell ref="C18:J18"/>
    <mergeCell ref="C19:J19"/>
    <mergeCell ref="C20:F20"/>
    <mergeCell ref="C21:J21"/>
    <mergeCell ref="C22:F22"/>
    <mergeCell ref="A29:A30"/>
    <mergeCell ref="B29:B30"/>
    <mergeCell ref="C29:F29"/>
    <mergeCell ref="G29:G30"/>
    <mergeCell ref="H29:H30"/>
    <mergeCell ref="C24:F24"/>
    <mergeCell ref="C25:F25"/>
    <mergeCell ref="C26:J26"/>
    <mergeCell ref="C27:H27"/>
    <mergeCell ref="C28:F28"/>
    <mergeCell ref="C31:F31"/>
    <mergeCell ref="C32:F32"/>
    <mergeCell ref="A33:A34"/>
    <mergeCell ref="B33:B34"/>
    <mergeCell ref="C33:F33"/>
    <mergeCell ref="H40:H41"/>
    <mergeCell ref="H33:H34"/>
    <mergeCell ref="C35:F35"/>
    <mergeCell ref="C36:F36"/>
    <mergeCell ref="A37:A38"/>
    <mergeCell ref="B37:B38"/>
    <mergeCell ref="C37:F37"/>
    <mergeCell ref="G37:G38"/>
    <mergeCell ref="H37:H38"/>
    <mergeCell ref="G33:G34"/>
    <mergeCell ref="C39:F39"/>
    <mergeCell ref="A40:A41"/>
    <mergeCell ref="B40:B41"/>
    <mergeCell ref="C40:F40"/>
    <mergeCell ref="G40:G41"/>
    <mergeCell ref="C42:J42"/>
    <mergeCell ref="C43:F43"/>
    <mergeCell ref="C44:J44"/>
    <mergeCell ref="C45:F45"/>
    <mergeCell ref="A46:A47"/>
    <mergeCell ref="B46:B47"/>
    <mergeCell ref="C46:F46"/>
    <mergeCell ref="G46:G47"/>
    <mergeCell ref="H46:H47"/>
    <mergeCell ref="C48:F48"/>
    <mergeCell ref="C49:J49"/>
    <mergeCell ref="C50:J50"/>
    <mergeCell ref="C51:F51"/>
    <mergeCell ref="A52:A53"/>
    <mergeCell ref="B52:B53"/>
    <mergeCell ref="C52:F52"/>
    <mergeCell ref="G52:G53"/>
    <mergeCell ref="H52:H53"/>
    <mergeCell ref="C54:J54"/>
    <mergeCell ref="C55:F55"/>
    <mergeCell ref="A56:I56"/>
    <mergeCell ref="A57:I57"/>
    <mergeCell ref="A58:I58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6"/>
  <sheetViews>
    <sheetView view="pageBreakPreview" zoomScaleNormal="100" zoomScaleSheetLayoutView="100" workbookViewId="0">
      <selection activeCell="A2" sqref="A2:J2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44" t="s">
        <v>1084</v>
      </c>
      <c r="B1" s="744"/>
      <c r="C1" s="744"/>
      <c r="D1" s="744"/>
      <c r="E1" s="744"/>
      <c r="F1" s="744"/>
      <c r="G1" s="744"/>
      <c r="H1" s="744"/>
      <c r="I1" s="744"/>
      <c r="J1" s="744"/>
    </row>
    <row r="2" spans="1:18" s="4" customFormat="1" ht="39" customHeight="1">
      <c r="A2" s="760" t="s">
        <v>1039</v>
      </c>
      <c r="B2" s="760"/>
      <c r="C2" s="760"/>
      <c r="D2" s="760"/>
      <c r="E2" s="760"/>
      <c r="F2" s="760"/>
      <c r="G2" s="760"/>
      <c r="H2" s="760"/>
      <c r="I2" s="760"/>
      <c r="J2" s="760"/>
    </row>
    <row r="3" spans="1:18" ht="45" customHeight="1">
      <c r="A3" s="74" t="s">
        <v>3</v>
      </c>
      <c r="B3" s="449" t="s">
        <v>199</v>
      </c>
      <c r="C3" s="755" t="s">
        <v>4</v>
      </c>
      <c r="D3" s="755"/>
      <c r="E3" s="755"/>
      <c r="F3" s="755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61" t="s">
        <v>1006</v>
      </c>
      <c r="C4" s="761"/>
      <c r="D4" s="761"/>
      <c r="E4" s="761"/>
      <c r="F4" s="761"/>
      <c r="G4" s="761"/>
      <c r="H4" s="761"/>
      <c r="I4" s="761"/>
      <c r="J4" s="761"/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</row>
    <row r="6" spans="1:18" ht="44.25" hidden="1" customHeight="1">
      <c r="A6" s="755"/>
      <c r="B6" s="756"/>
      <c r="C6" s="757" t="s">
        <v>733</v>
      </c>
      <c r="D6" s="757"/>
      <c r="E6" s="757"/>
      <c r="F6" s="757"/>
      <c r="G6" s="758" t="s">
        <v>177</v>
      </c>
      <c r="H6" s="759" t="s">
        <v>34</v>
      </c>
      <c r="I6" s="377"/>
      <c r="J6" s="521"/>
    </row>
    <row r="7" spans="1:18" ht="21.75" hidden="1" customHeight="1">
      <c r="A7" s="755"/>
      <c r="B7" s="756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58"/>
      <c r="H7" s="759"/>
      <c r="I7" s="377"/>
      <c r="J7" s="521"/>
    </row>
    <row r="8" spans="1:18" ht="18" customHeight="1">
      <c r="A8" s="64" t="s">
        <v>34</v>
      </c>
      <c r="B8" s="571" t="s">
        <v>14</v>
      </c>
      <c r="C8" s="736" t="s">
        <v>108</v>
      </c>
      <c r="D8" s="736"/>
      <c r="E8" s="736"/>
      <c r="F8" s="736"/>
      <c r="G8" s="736"/>
      <c r="H8" s="736"/>
      <c r="I8" s="736"/>
      <c r="J8" s="736"/>
    </row>
    <row r="9" spans="1:18" s="14" customFormat="1" ht="31.5" customHeight="1">
      <c r="A9" s="74">
        <v>1</v>
      </c>
      <c r="B9" s="449" t="s">
        <v>952</v>
      </c>
      <c r="C9" s="762" t="s">
        <v>1018</v>
      </c>
      <c r="D9" s="762"/>
      <c r="E9" s="762"/>
      <c r="F9" s="762"/>
      <c r="G9" s="74" t="s">
        <v>176</v>
      </c>
      <c r="H9" s="78">
        <f>116*1</f>
        <v>116</v>
      </c>
      <c r="I9" s="78"/>
      <c r="J9" s="662"/>
    </row>
    <row r="10" spans="1:18" ht="54" hidden="1" customHeight="1">
      <c r="A10" s="755"/>
      <c r="B10" s="763"/>
      <c r="C10" s="764" t="s">
        <v>969</v>
      </c>
      <c r="D10" s="764"/>
      <c r="E10" s="764"/>
      <c r="F10" s="764"/>
      <c r="G10" s="758" t="s">
        <v>177</v>
      </c>
      <c r="H10" s="765" t="s">
        <v>34</v>
      </c>
      <c r="I10" s="377"/>
      <c r="J10" s="521"/>
    </row>
    <row r="11" spans="1:18" ht="21" hidden="1" customHeight="1">
      <c r="A11" s="755"/>
      <c r="B11" s="763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58"/>
      <c r="H11" s="765"/>
      <c r="I11" s="377"/>
      <c r="J11" s="521"/>
    </row>
    <row r="12" spans="1:18" ht="17.25" customHeight="1">
      <c r="A12" s="64" t="s">
        <v>34</v>
      </c>
      <c r="B12" s="571" t="s">
        <v>15</v>
      </c>
      <c r="C12" s="736" t="s">
        <v>10</v>
      </c>
      <c r="D12" s="736"/>
      <c r="E12" s="736"/>
      <c r="F12" s="736"/>
      <c r="G12" s="736"/>
      <c r="H12" s="736"/>
      <c r="I12" s="736"/>
      <c r="J12" s="736"/>
      <c r="R12" s="40">
        <v>13</v>
      </c>
    </row>
    <row r="13" spans="1:18" ht="25.5" hidden="1" customHeight="1">
      <c r="A13" s="786"/>
      <c r="B13" s="787"/>
      <c r="C13" s="788" t="s">
        <v>974</v>
      </c>
      <c r="D13" s="788"/>
      <c r="E13" s="788"/>
      <c r="F13" s="788"/>
      <c r="G13" s="789" t="s">
        <v>920</v>
      </c>
      <c r="H13" s="790" t="s">
        <v>34</v>
      </c>
      <c r="I13" s="377"/>
      <c r="J13" s="521"/>
      <c r="M13" s="784"/>
      <c r="N13" s="784"/>
      <c r="O13" s="784"/>
      <c r="P13" s="784"/>
    </row>
    <row r="14" spans="1:18" ht="20.25" hidden="1" customHeight="1">
      <c r="A14" s="786"/>
      <c r="B14" s="787"/>
      <c r="C14" s="645" t="s">
        <v>713</v>
      </c>
      <c r="D14" s="652" t="e">
        <f>#REF!</f>
        <v>#REF!</v>
      </c>
      <c r="E14" s="290" t="s">
        <v>708</v>
      </c>
      <c r="F14" s="652" t="s">
        <v>718</v>
      </c>
      <c r="G14" s="789"/>
      <c r="H14" s="790"/>
      <c r="I14" s="377"/>
      <c r="J14" s="521"/>
    </row>
    <row r="15" spans="1:18" ht="36.75" customHeight="1">
      <c r="A15" s="74">
        <v>2</v>
      </c>
      <c r="B15" s="641" t="s">
        <v>31</v>
      </c>
      <c r="C15" s="785" t="s">
        <v>1019</v>
      </c>
      <c r="D15" s="785"/>
      <c r="E15" s="785"/>
      <c r="F15" s="785"/>
      <c r="G15" s="74" t="s">
        <v>176</v>
      </c>
      <c r="H15" s="78">
        <v>16</v>
      </c>
      <c r="I15" s="78"/>
      <c r="J15" s="662"/>
    </row>
    <row r="16" spans="1:18" ht="32.25" customHeight="1">
      <c r="A16" s="21"/>
      <c r="B16" s="448" t="s">
        <v>111</v>
      </c>
      <c r="C16" s="737" t="s">
        <v>189</v>
      </c>
      <c r="D16" s="737"/>
      <c r="E16" s="737"/>
      <c r="F16" s="737"/>
      <c r="G16" s="737"/>
      <c r="H16" s="737"/>
      <c r="I16" s="737"/>
      <c r="J16" s="737"/>
    </row>
    <row r="17" spans="1:106" s="15" customFormat="1" ht="21" customHeight="1">
      <c r="A17" s="64" t="s">
        <v>34</v>
      </c>
      <c r="B17" s="571" t="s">
        <v>142</v>
      </c>
      <c r="C17" s="736" t="s">
        <v>147</v>
      </c>
      <c r="D17" s="736"/>
      <c r="E17" s="736"/>
      <c r="F17" s="736"/>
      <c r="G17" s="736"/>
      <c r="H17" s="736"/>
      <c r="I17" s="736"/>
      <c r="J17" s="736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</row>
    <row r="18" spans="1:106" s="15" customFormat="1" ht="37.5" customHeight="1">
      <c r="A18" s="74">
        <v>3</v>
      </c>
      <c r="B18" s="572" t="s">
        <v>143</v>
      </c>
      <c r="C18" s="768" t="s">
        <v>1046</v>
      </c>
      <c r="D18" s="768"/>
      <c r="E18" s="768"/>
      <c r="F18" s="768"/>
      <c r="G18" s="74" t="s">
        <v>179</v>
      </c>
      <c r="H18" s="78">
        <f>116*0.7</f>
        <v>81.2</v>
      </c>
      <c r="I18" s="78"/>
      <c r="J18" s="662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</row>
    <row r="19" spans="1:106" s="15" customFormat="1" ht="54" hidden="1" customHeight="1">
      <c r="A19" s="755"/>
      <c r="B19" s="766"/>
      <c r="C19" s="764" t="s">
        <v>978</v>
      </c>
      <c r="D19" s="764"/>
      <c r="E19" s="764"/>
      <c r="F19" s="764"/>
      <c r="G19" s="758" t="s">
        <v>178</v>
      </c>
      <c r="H19" s="767" t="s">
        <v>34</v>
      </c>
      <c r="I19" s="632"/>
      <c r="J19" s="66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18" hidden="1" customHeight="1">
      <c r="A20" s="755"/>
      <c r="B20" s="766"/>
      <c r="C20" s="672" t="s">
        <v>714</v>
      </c>
      <c r="D20" s="67" t="e">
        <f>#REF!</f>
        <v>#REF!</v>
      </c>
      <c r="E20" s="109" t="str">
        <f>G19</f>
        <v>m3</v>
      </c>
      <c r="F20" s="67" t="s">
        <v>716</v>
      </c>
      <c r="G20" s="758"/>
      <c r="H20" s="767"/>
      <c r="I20" s="632"/>
      <c r="J20" s="66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3" customFormat="1" ht="31.5" customHeight="1">
      <c r="A21" s="21"/>
      <c r="B21" s="448" t="s">
        <v>57</v>
      </c>
      <c r="C21" s="737" t="s">
        <v>181</v>
      </c>
      <c r="D21" s="737"/>
      <c r="E21" s="737"/>
      <c r="F21" s="737"/>
      <c r="G21" s="737"/>
      <c r="H21" s="737"/>
      <c r="I21" s="737"/>
      <c r="J21" s="737"/>
    </row>
    <row r="22" spans="1:106" s="1" customFormat="1" ht="18" customHeight="1">
      <c r="A22" s="64" t="s">
        <v>34</v>
      </c>
      <c r="B22" s="571" t="s">
        <v>98</v>
      </c>
      <c r="C22" s="736" t="s">
        <v>99</v>
      </c>
      <c r="D22" s="736"/>
      <c r="E22" s="736"/>
      <c r="F22" s="736"/>
      <c r="G22" s="736"/>
      <c r="H22" s="736"/>
      <c r="I22" s="736"/>
      <c r="J22" s="736"/>
    </row>
    <row r="23" spans="1:106" s="1" customFormat="1" ht="33" customHeight="1">
      <c r="A23" s="86">
        <v>4</v>
      </c>
      <c r="B23" s="431" t="s">
        <v>970</v>
      </c>
      <c r="C23" s="778" t="s">
        <v>1011</v>
      </c>
      <c r="D23" s="778"/>
      <c r="E23" s="778"/>
      <c r="F23" s="778"/>
      <c r="G23" s="86" t="s">
        <v>176</v>
      </c>
      <c r="H23" s="87">
        <f>116*1</f>
        <v>116</v>
      </c>
      <c r="I23" s="566"/>
      <c r="J23" s="662"/>
    </row>
    <row r="24" spans="1:106" s="1" customFormat="1" ht="33" customHeight="1">
      <c r="A24" s="64" t="s">
        <v>34</v>
      </c>
      <c r="B24" s="571" t="s">
        <v>114</v>
      </c>
      <c r="C24" s="736" t="s">
        <v>1024</v>
      </c>
      <c r="D24" s="736"/>
      <c r="E24" s="736"/>
      <c r="F24" s="736"/>
      <c r="G24" s="736"/>
      <c r="H24" s="736"/>
      <c r="I24" s="736"/>
      <c r="J24" s="736"/>
    </row>
    <row r="25" spans="1:106" s="1" customFormat="1" ht="33" customHeight="1">
      <c r="A25" s="86">
        <v>5</v>
      </c>
      <c r="B25" s="564" t="s">
        <v>162</v>
      </c>
      <c r="C25" s="778" t="s">
        <v>1023</v>
      </c>
      <c r="D25" s="778"/>
      <c r="E25" s="778"/>
      <c r="F25" s="778"/>
      <c r="G25" s="86" t="s">
        <v>176</v>
      </c>
      <c r="H25" s="87">
        <f>H23</f>
        <v>116</v>
      </c>
      <c r="I25" s="566"/>
      <c r="J25" s="662"/>
    </row>
    <row r="26" spans="1:106" s="8" customFormat="1" ht="18" customHeight="1">
      <c r="A26" s="64" t="s">
        <v>34</v>
      </c>
      <c r="B26" s="571" t="s">
        <v>972</v>
      </c>
      <c r="C26" s="736" t="s">
        <v>20</v>
      </c>
      <c r="D26" s="736"/>
      <c r="E26" s="736"/>
      <c r="F26" s="736"/>
      <c r="G26" s="736"/>
      <c r="H26" s="736"/>
      <c r="I26" s="736"/>
      <c r="J26" s="736"/>
    </row>
    <row r="27" spans="1:106" s="8" customFormat="1" ht="47.25" customHeight="1">
      <c r="A27" s="86">
        <v>6</v>
      </c>
      <c r="B27" s="623" t="s">
        <v>1028</v>
      </c>
      <c r="C27" s="769" t="s">
        <v>1036</v>
      </c>
      <c r="D27" s="769"/>
      <c r="E27" s="769"/>
      <c r="F27" s="769"/>
      <c r="G27" s="86" t="s">
        <v>176</v>
      </c>
      <c r="H27" s="87">
        <f>116*3.2</f>
        <v>371.2</v>
      </c>
      <c r="I27" s="566"/>
      <c r="J27" s="662"/>
    </row>
    <row r="28" spans="1:106" s="8" customFormat="1" ht="30" customHeight="1">
      <c r="A28" s="86">
        <v>7</v>
      </c>
      <c r="B28" s="623" t="s">
        <v>984</v>
      </c>
      <c r="C28" s="769" t="s">
        <v>485</v>
      </c>
      <c r="D28" s="769"/>
      <c r="E28" s="769"/>
      <c r="F28" s="769"/>
      <c r="G28" s="86" t="s">
        <v>176</v>
      </c>
      <c r="H28" s="87">
        <f>116*1</f>
        <v>116</v>
      </c>
      <c r="I28" s="566"/>
      <c r="J28" s="662"/>
    </row>
    <row r="29" spans="1:106" s="8" customFormat="1" ht="33" customHeight="1">
      <c r="A29" s="524"/>
      <c r="B29" s="524" t="s">
        <v>59</v>
      </c>
      <c r="C29" s="770" t="s">
        <v>182</v>
      </c>
      <c r="D29" s="770"/>
      <c r="E29" s="770"/>
      <c r="F29" s="770"/>
      <c r="G29" s="770"/>
      <c r="H29" s="770"/>
      <c r="I29" s="770"/>
      <c r="J29" s="770"/>
      <c r="L29" s="8" t="s">
        <v>1081</v>
      </c>
    </row>
    <row r="30" spans="1:106" s="16" customFormat="1" ht="25.5" hidden="1" customHeight="1">
      <c r="A30" s="64" t="s">
        <v>34</v>
      </c>
      <c r="B30" s="276" t="s">
        <v>116</v>
      </c>
      <c r="C30" s="741" t="s">
        <v>776</v>
      </c>
      <c r="D30" s="741"/>
      <c r="E30" s="741"/>
      <c r="F30" s="741"/>
      <c r="G30" s="741" t="s">
        <v>8</v>
      </c>
      <c r="H30" s="741"/>
      <c r="I30" s="673"/>
      <c r="J30" s="66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</row>
    <row r="31" spans="1:106" s="204" customFormat="1" ht="29.25" hidden="1" customHeight="1">
      <c r="A31" s="86">
        <v>27</v>
      </c>
      <c r="B31" s="650" t="s">
        <v>116</v>
      </c>
      <c r="C31" s="771" t="s">
        <v>820</v>
      </c>
      <c r="D31" s="771"/>
      <c r="E31" s="771"/>
      <c r="F31" s="771"/>
      <c r="G31" s="289" t="s">
        <v>919</v>
      </c>
      <c r="H31" s="671" t="e">
        <f>SUM(#REF!)</f>
        <v>#REF!</v>
      </c>
      <c r="I31" s="674"/>
      <c r="J31" s="66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</row>
    <row r="32" spans="1:106" s="204" customFormat="1" ht="29.25" hidden="1" customHeight="1">
      <c r="A32" s="772"/>
      <c r="B32" s="773"/>
      <c r="C32" s="774" t="s">
        <v>778</v>
      </c>
      <c r="D32" s="774"/>
      <c r="E32" s="774"/>
      <c r="F32" s="774"/>
      <c r="G32" s="775" t="s">
        <v>920</v>
      </c>
      <c r="H32" s="776" t="s">
        <v>34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0.25" hidden="1" customHeight="1">
      <c r="A33" s="772"/>
      <c r="B33" s="773"/>
      <c r="C33" s="645" t="s">
        <v>713</v>
      </c>
      <c r="D33" s="652" t="e">
        <f>#REF!</f>
        <v>#REF!</v>
      </c>
      <c r="E33" s="290" t="str">
        <f>G32</f>
        <v>m2</v>
      </c>
      <c r="F33" s="652" t="s">
        <v>716</v>
      </c>
      <c r="G33" s="775"/>
      <c r="H33" s="776"/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276" t="s">
        <v>34</v>
      </c>
      <c r="B34" s="276" t="s">
        <v>845</v>
      </c>
      <c r="C34" s="741" t="s">
        <v>847</v>
      </c>
      <c r="D34" s="741" t="s">
        <v>8</v>
      </c>
      <c r="E34" s="741"/>
      <c r="F34" s="741"/>
      <c r="G34" s="655" t="s">
        <v>8</v>
      </c>
      <c r="H34" s="655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36" hidden="1" customHeight="1">
      <c r="A35" s="593">
        <v>44</v>
      </c>
      <c r="B35" s="656" t="s">
        <v>846</v>
      </c>
      <c r="C35" s="771" t="s">
        <v>915</v>
      </c>
      <c r="D35" s="771"/>
      <c r="E35" s="771"/>
      <c r="F35" s="771"/>
      <c r="G35" s="289" t="s">
        <v>919</v>
      </c>
      <c r="H35" s="671" t="e">
        <f>SUM(#REF!)</f>
        <v>#REF!</v>
      </c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45.75" hidden="1" customHeight="1">
      <c r="A36" s="775"/>
      <c r="B36" s="773"/>
      <c r="C36" s="774" t="s">
        <v>940</v>
      </c>
      <c r="D36" s="774"/>
      <c r="E36" s="774"/>
      <c r="F36" s="774"/>
      <c r="G36" s="775" t="s">
        <v>920</v>
      </c>
      <c r="H36" s="776" t="s">
        <v>34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24.75" hidden="1" customHeight="1">
      <c r="A37" s="775"/>
      <c r="B37" s="773"/>
      <c r="C37" s="645" t="s">
        <v>713</v>
      </c>
      <c r="D37" s="652" t="e">
        <f>#REF!</f>
        <v>#REF!</v>
      </c>
      <c r="E37" s="290" t="str">
        <f>G36</f>
        <v>m2</v>
      </c>
      <c r="F37" s="652" t="s">
        <v>811</v>
      </c>
      <c r="G37" s="775"/>
      <c r="H37" s="776"/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34.5" hidden="1" customHeight="1">
      <c r="A38" s="64" t="s">
        <v>34</v>
      </c>
      <c r="B38" s="276" t="s">
        <v>848</v>
      </c>
      <c r="C38" s="741" t="s">
        <v>849</v>
      </c>
      <c r="D38" s="741" t="s">
        <v>8</v>
      </c>
      <c r="E38" s="741"/>
      <c r="F38" s="741"/>
      <c r="G38" s="655" t="s">
        <v>8</v>
      </c>
      <c r="H38" s="655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20.25" hidden="1" customHeight="1">
      <c r="A39" s="458">
        <v>29</v>
      </c>
      <c r="B39" s="656" t="s">
        <v>846</v>
      </c>
      <c r="C39" s="771" t="s">
        <v>844</v>
      </c>
      <c r="D39" s="771"/>
      <c r="E39" s="771"/>
      <c r="F39" s="771"/>
      <c r="G39" s="289" t="s">
        <v>919</v>
      </c>
      <c r="H39" s="671" t="e">
        <f>SUM(#REF!)</f>
        <v>#REF!</v>
      </c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47.25" hidden="1" customHeight="1">
      <c r="A40" s="772"/>
      <c r="B40" s="773"/>
      <c r="C40" s="774" t="s">
        <v>843</v>
      </c>
      <c r="D40" s="774"/>
      <c r="E40" s="774"/>
      <c r="F40" s="774"/>
      <c r="G40" s="775" t="s">
        <v>920</v>
      </c>
      <c r="H40" s="776" t="s">
        <v>34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20.25" hidden="1" customHeight="1">
      <c r="A41" s="772"/>
      <c r="B41" s="773"/>
      <c r="C41" s="645" t="s">
        <v>713</v>
      </c>
      <c r="D41" s="652" t="e">
        <f>#REF!</f>
        <v>#REF!</v>
      </c>
      <c r="E41" s="290" t="str">
        <f>G40</f>
        <v>m2</v>
      </c>
      <c r="F41" s="652" t="s">
        <v>811</v>
      </c>
      <c r="G41" s="775"/>
      <c r="H41" s="776"/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458">
        <v>30</v>
      </c>
      <c r="B42" s="656" t="s">
        <v>851</v>
      </c>
      <c r="C42" s="771" t="s">
        <v>852</v>
      </c>
      <c r="D42" s="771"/>
      <c r="E42" s="771"/>
      <c r="F42" s="771"/>
      <c r="G42" s="289" t="s">
        <v>919</v>
      </c>
      <c r="H42" s="671" t="e">
        <f>SUM(#REF!)</f>
        <v>#REF!</v>
      </c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45.75" hidden="1" customHeight="1">
      <c r="A43" s="772"/>
      <c r="B43" s="773"/>
      <c r="C43" s="774" t="s">
        <v>853</v>
      </c>
      <c r="D43" s="774"/>
      <c r="E43" s="774"/>
      <c r="F43" s="774"/>
      <c r="G43" s="775" t="s">
        <v>920</v>
      </c>
      <c r="H43" s="776" t="s">
        <v>34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20.25" hidden="1" customHeight="1">
      <c r="A44" s="772"/>
      <c r="B44" s="773"/>
      <c r="C44" s="645" t="s">
        <v>713</v>
      </c>
      <c r="D44" s="652" t="e">
        <f>#REF!</f>
        <v>#REF!</v>
      </c>
      <c r="E44" s="290" t="str">
        <f>G43</f>
        <v>m2</v>
      </c>
      <c r="F44" s="652" t="s">
        <v>811</v>
      </c>
      <c r="G44" s="775"/>
      <c r="H44" s="776"/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customHeight="1">
      <c r="A45" s="571"/>
      <c r="B45" s="64" t="s">
        <v>116</v>
      </c>
      <c r="C45" s="736" t="s">
        <v>776</v>
      </c>
      <c r="D45" s="736"/>
      <c r="E45" s="736"/>
      <c r="F45" s="736"/>
      <c r="G45" s="736"/>
      <c r="H45" s="736"/>
      <c r="I45" s="736"/>
      <c r="J45" s="736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36.75" customHeight="1">
      <c r="A46" s="679" t="s">
        <v>1022</v>
      </c>
      <c r="B46" s="564" t="s">
        <v>213</v>
      </c>
      <c r="C46" s="769" t="s">
        <v>1021</v>
      </c>
      <c r="D46" s="769"/>
      <c r="E46" s="769"/>
      <c r="F46" s="769"/>
      <c r="G46" s="458" t="s">
        <v>176</v>
      </c>
      <c r="H46" s="566">
        <v>36</v>
      </c>
      <c r="I46" s="389"/>
      <c r="J46" s="662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22.5" customHeight="1">
      <c r="A47" s="64" t="s">
        <v>34</v>
      </c>
      <c r="B47" s="64" t="s">
        <v>21</v>
      </c>
      <c r="C47" s="736" t="s">
        <v>1078</v>
      </c>
      <c r="D47" s="736"/>
      <c r="E47" s="736"/>
      <c r="F47" s="736"/>
      <c r="G47" s="736"/>
      <c r="H47" s="736"/>
      <c r="I47" s="736"/>
      <c r="J47" s="736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8" s="204" customFormat="1" ht="30.75" hidden="1" customHeight="1">
      <c r="A48" s="289">
        <v>45</v>
      </c>
      <c r="B48" s="656" t="s">
        <v>816</v>
      </c>
      <c r="C48" s="771" t="s">
        <v>935</v>
      </c>
      <c r="D48" s="771"/>
      <c r="E48" s="771"/>
      <c r="F48" s="771"/>
      <c r="G48" s="289" t="s">
        <v>924</v>
      </c>
      <c r="H48" s="671" t="e">
        <f>SUM(#REF!)</f>
        <v>#REF!</v>
      </c>
      <c r="I48" s="674"/>
      <c r="J48" s="665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6.75" hidden="1" customHeight="1">
      <c r="A49" s="775"/>
      <c r="B49" s="777"/>
      <c r="C49" s="774" t="s">
        <v>936</v>
      </c>
      <c r="D49" s="774"/>
      <c r="E49" s="774"/>
      <c r="F49" s="774"/>
      <c r="G49" s="775" t="s">
        <v>924</v>
      </c>
      <c r="H49" s="776" t="s">
        <v>34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0" hidden="1" customHeight="1">
      <c r="A50" s="775"/>
      <c r="B50" s="777"/>
      <c r="C50" s="645" t="s">
        <v>713</v>
      </c>
      <c r="D50" s="652" t="e">
        <f>#REF!</f>
        <v>#REF!</v>
      </c>
      <c r="E50" s="290" t="s">
        <v>924</v>
      </c>
      <c r="F50" s="652" t="s">
        <v>716</v>
      </c>
      <c r="G50" s="775"/>
      <c r="H50" s="776"/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43.5" customHeight="1">
      <c r="A51" s="86">
        <v>9</v>
      </c>
      <c r="B51" s="564" t="s">
        <v>1008</v>
      </c>
      <c r="C51" s="778" t="s">
        <v>1079</v>
      </c>
      <c r="D51" s="778"/>
      <c r="E51" s="778"/>
      <c r="F51" s="778"/>
      <c r="G51" s="86" t="s">
        <v>176</v>
      </c>
      <c r="H51" s="77">
        <f>116*3*1.05</f>
        <v>365.4</v>
      </c>
      <c r="I51" s="77"/>
      <c r="J51" s="662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41" customFormat="1" ht="35.25" customHeight="1">
      <c r="A52" s="21"/>
      <c r="B52" s="448" t="s">
        <v>60</v>
      </c>
      <c r="C52" s="737" t="s">
        <v>183</v>
      </c>
      <c r="D52" s="737"/>
      <c r="E52" s="737"/>
      <c r="F52" s="737"/>
      <c r="G52" s="737"/>
      <c r="H52" s="737"/>
      <c r="I52" s="737"/>
      <c r="J52" s="73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</row>
    <row r="53" spans="1:68" s="8" customFormat="1" ht="19.5" customHeight="1">
      <c r="A53" s="64" t="s">
        <v>34</v>
      </c>
      <c r="B53" s="571" t="s">
        <v>23</v>
      </c>
      <c r="C53" s="736" t="s">
        <v>167</v>
      </c>
      <c r="D53" s="736"/>
      <c r="E53" s="736"/>
      <c r="F53" s="736"/>
      <c r="G53" s="736" t="s">
        <v>8</v>
      </c>
      <c r="H53" s="736"/>
      <c r="I53" s="736"/>
      <c r="J53" s="736"/>
    </row>
    <row r="54" spans="1:68" s="11" customFormat="1" ht="28.5" customHeight="1">
      <c r="A54" s="86">
        <v>10</v>
      </c>
      <c r="B54" s="432" t="s">
        <v>0</v>
      </c>
      <c r="C54" s="778" t="s">
        <v>74</v>
      </c>
      <c r="D54" s="778"/>
      <c r="E54" s="778"/>
      <c r="F54" s="778"/>
      <c r="G54" s="86" t="s">
        <v>176</v>
      </c>
      <c r="H54" s="87">
        <f>H9/2</f>
        <v>58</v>
      </c>
      <c r="I54" s="566"/>
      <c r="J54" s="662"/>
    </row>
    <row r="55" spans="1:68" s="8" customFormat="1" ht="38.25" hidden="1" customHeight="1">
      <c r="A55" s="779"/>
      <c r="B55" s="780"/>
      <c r="C55" s="781" t="s">
        <v>983</v>
      </c>
      <c r="D55" s="781"/>
      <c r="E55" s="781"/>
      <c r="F55" s="781"/>
      <c r="G55" s="772" t="s">
        <v>177</v>
      </c>
      <c r="H55" s="782" t="s">
        <v>34</v>
      </c>
      <c r="I55" s="106"/>
      <c r="J55" s="662" t="e">
        <f t="shared" ref="J55:J56" si="0">H55*I55</f>
        <v>#VALUE!</v>
      </c>
    </row>
    <row r="56" spans="1:68" s="8" customFormat="1" ht="16.5" hidden="1" customHeight="1">
      <c r="A56" s="779"/>
      <c r="B56" s="780"/>
      <c r="C56" s="672" t="s">
        <v>713</v>
      </c>
      <c r="D56" s="67" t="e">
        <f>#REF!</f>
        <v>#REF!</v>
      </c>
      <c r="E56" s="109" t="str">
        <f>G55</f>
        <v>m2</v>
      </c>
      <c r="F56" s="67" t="s">
        <v>715</v>
      </c>
      <c r="G56" s="772"/>
      <c r="H56" s="782"/>
      <c r="I56" s="106"/>
      <c r="J56" s="662">
        <f t="shared" si="0"/>
        <v>0</v>
      </c>
    </row>
    <row r="57" spans="1:68" s="8" customFormat="1" ht="19.5" customHeight="1">
      <c r="A57" s="64" t="s">
        <v>34</v>
      </c>
      <c r="B57" s="450" t="s">
        <v>976</v>
      </c>
      <c r="C57" s="736" t="s">
        <v>975</v>
      </c>
      <c r="D57" s="736"/>
      <c r="E57" s="736"/>
      <c r="F57" s="736"/>
      <c r="G57" s="736" t="s">
        <v>8</v>
      </c>
      <c r="H57" s="736"/>
      <c r="I57" s="736"/>
      <c r="J57" s="736"/>
    </row>
    <row r="58" spans="1:68" s="11" customFormat="1" ht="29.25" customHeight="1">
      <c r="A58" s="86">
        <v>11</v>
      </c>
      <c r="B58" s="432" t="s">
        <v>977</v>
      </c>
      <c r="C58" s="778" t="s">
        <v>1017</v>
      </c>
      <c r="D58" s="778"/>
      <c r="E58" s="778"/>
      <c r="F58" s="778"/>
      <c r="G58" s="86" t="s">
        <v>176</v>
      </c>
      <c r="H58" s="87">
        <f>116*2*0.5</f>
        <v>116</v>
      </c>
      <c r="I58" s="77"/>
      <c r="J58" s="662"/>
    </row>
    <row r="59" spans="1:68" ht="21" customHeight="1">
      <c r="A59" s="783" t="s">
        <v>1014</v>
      </c>
      <c r="B59" s="783"/>
      <c r="C59" s="783"/>
      <c r="D59" s="783"/>
      <c r="E59" s="783"/>
      <c r="F59" s="783"/>
      <c r="G59" s="783"/>
      <c r="H59" s="783"/>
      <c r="I59" s="783"/>
      <c r="J59" s="592"/>
    </row>
    <row r="60" spans="1:68" ht="21" customHeight="1">
      <c r="A60" s="783" t="s">
        <v>76</v>
      </c>
      <c r="B60" s="783"/>
      <c r="C60" s="783"/>
      <c r="D60" s="783"/>
      <c r="E60" s="783"/>
      <c r="F60" s="783"/>
      <c r="G60" s="783"/>
      <c r="H60" s="783"/>
      <c r="I60" s="783"/>
      <c r="J60" s="592"/>
    </row>
    <row r="61" spans="1:68" ht="21" customHeight="1">
      <c r="A61" s="783" t="s">
        <v>90</v>
      </c>
      <c r="B61" s="783"/>
      <c r="C61" s="783"/>
      <c r="D61" s="783"/>
      <c r="E61" s="783"/>
      <c r="F61" s="783"/>
      <c r="G61" s="783"/>
      <c r="H61" s="783"/>
      <c r="I61" s="783"/>
      <c r="J61" s="592"/>
    </row>
    <row r="62" spans="1:68" ht="21" customHeight="1">
      <c r="A62" s="553"/>
      <c r="B62" s="553"/>
      <c r="C62" s="554"/>
      <c r="D62" s="556"/>
      <c r="E62" s="555"/>
      <c r="F62" s="555"/>
      <c r="G62" s="500"/>
      <c r="H62" s="547"/>
    </row>
    <row r="63" spans="1:68" ht="12.75" customHeight="1">
      <c r="B63" s="494"/>
      <c r="C63" s="507"/>
      <c r="D63" s="504"/>
      <c r="E63" s="494"/>
      <c r="F63" s="526"/>
      <c r="G63" s="526"/>
    </row>
    <row r="64" spans="1:68" ht="12.75" customHeight="1">
      <c r="B64" s="494"/>
      <c r="C64" s="507"/>
      <c r="D64" s="504"/>
      <c r="E64" s="494"/>
      <c r="F64" s="526"/>
      <c r="G64" s="526"/>
    </row>
    <row r="65" spans="1:106" s="18" customFormat="1" ht="12.75" customHeight="1">
      <c r="A65" s="17"/>
      <c r="B65" s="494"/>
      <c r="C65" s="507"/>
      <c r="D65" s="504"/>
      <c r="E65" s="494"/>
      <c r="F65" s="526"/>
      <c r="G65" s="526"/>
      <c r="I65" s="40"/>
      <c r="J65" s="488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</row>
    <row r="66" spans="1:106" s="18" customFormat="1" ht="12.75" customHeight="1">
      <c r="A66" s="17"/>
      <c r="B66" s="494"/>
      <c r="C66" s="507"/>
      <c r="D66" s="504"/>
      <c r="E66" s="494"/>
      <c r="F66" s="526"/>
      <c r="G66" s="526"/>
      <c r="I66" s="40"/>
      <c r="J66" s="488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</row>
  </sheetData>
  <mergeCells count="92">
    <mergeCell ref="A6:A7"/>
    <mergeCell ref="B6:B7"/>
    <mergeCell ref="C6:F6"/>
    <mergeCell ref="G6:G7"/>
    <mergeCell ref="H6:H7"/>
    <mergeCell ref="A1:J1"/>
    <mergeCell ref="A2:J2"/>
    <mergeCell ref="C3:F3"/>
    <mergeCell ref="B4:J4"/>
    <mergeCell ref="C5:J5"/>
    <mergeCell ref="C8:J8"/>
    <mergeCell ref="C9:F9"/>
    <mergeCell ref="A10:A11"/>
    <mergeCell ref="B10:B11"/>
    <mergeCell ref="C10:F10"/>
    <mergeCell ref="G10:G11"/>
    <mergeCell ref="H10:H11"/>
    <mergeCell ref="C12:J12"/>
    <mergeCell ref="A13:A14"/>
    <mergeCell ref="B13:B14"/>
    <mergeCell ref="C13:F13"/>
    <mergeCell ref="G13:G14"/>
    <mergeCell ref="H13:H14"/>
    <mergeCell ref="A19:A20"/>
    <mergeCell ref="B19:B20"/>
    <mergeCell ref="C19:F19"/>
    <mergeCell ref="G19:G20"/>
    <mergeCell ref="H19:H20"/>
    <mergeCell ref="C26:J26"/>
    <mergeCell ref="M13:P13"/>
    <mergeCell ref="C15:F15"/>
    <mergeCell ref="C16:J16"/>
    <mergeCell ref="C17:J17"/>
    <mergeCell ref="C18:F18"/>
    <mergeCell ref="C21:J21"/>
    <mergeCell ref="C22:J22"/>
    <mergeCell ref="C23:F23"/>
    <mergeCell ref="C24:J24"/>
    <mergeCell ref="C25:F25"/>
    <mergeCell ref="A32:A33"/>
    <mergeCell ref="B32:B33"/>
    <mergeCell ref="C32:F32"/>
    <mergeCell ref="G32:G33"/>
    <mergeCell ref="H32:H33"/>
    <mergeCell ref="C27:F27"/>
    <mergeCell ref="C28:F28"/>
    <mergeCell ref="C29:J29"/>
    <mergeCell ref="C30:H30"/>
    <mergeCell ref="C31:F31"/>
    <mergeCell ref="C34:F34"/>
    <mergeCell ref="C35:F35"/>
    <mergeCell ref="A36:A37"/>
    <mergeCell ref="B36:B37"/>
    <mergeCell ref="C36:F36"/>
    <mergeCell ref="H43:H44"/>
    <mergeCell ref="H36:H37"/>
    <mergeCell ref="C38:F38"/>
    <mergeCell ref="C39:F39"/>
    <mergeCell ref="A40:A41"/>
    <mergeCell ref="B40:B41"/>
    <mergeCell ref="C40:F40"/>
    <mergeCell ref="G40:G41"/>
    <mergeCell ref="H40:H41"/>
    <mergeCell ref="G36:G37"/>
    <mergeCell ref="C42:F42"/>
    <mergeCell ref="A43:A44"/>
    <mergeCell ref="B43:B44"/>
    <mergeCell ref="C43:F43"/>
    <mergeCell ref="G43:G44"/>
    <mergeCell ref="C45:J45"/>
    <mergeCell ref="C46:F46"/>
    <mergeCell ref="C47:J47"/>
    <mergeCell ref="C48:F48"/>
    <mergeCell ref="A49:A50"/>
    <mergeCell ref="B49:B50"/>
    <mergeCell ref="C49:F49"/>
    <mergeCell ref="G49:G50"/>
    <mergeCell ref="H49:H50"/>
    <mergeCell ref="C51:F51"/>
    <mergeCell ref="C52:J52"/>
    <mergeCell ref="C53:J53"/>
    <mergeCell ref="C54:F54"/>
    <mergeCell ref="A55:A56"/>
    <mergeCell ref="B55:B56"/>
    <mergeCell ref="C55:F55"/>
    <mergeCell ref="G55:G56"/>
    <mergeCell ref="H55:H56"/>
    <mergeCell ref="C57:J57"/>
    <mergeCell ref="C58:F58"/>
    <mergeCell ref="A59:I59"/>
    <mergeCell ref="A60:I60"/>
    <mergeCell ref="A61:I61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7"/>
  <sheetViews>
    <sheetView view="pageBreakPreview" zoomScaleNormal="100" zoomScaleSheetLayoutView="100" workbookViewId="0">
      <selection activeCell="A2" sqref="A2:J2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4.5703125" style="488" customWidth="1"/>
    <col min="11" max="16384" width="9.140625" style="40"/>
  </cols>
  <sheetData>
    <row r="1" spans="1:18" s="4" customFormat="1" ht="31.5" customHeight="1">
      <c r="A1" s="744" t="s">
        <v>1084</v>
      </c>
      <c r="B1" s="744"/>
      <c r="C1" s="744"/>
      <c r="D1" s="744"/>
      <c r="E1" s="744"/>
      <c r="F1" s="744"/>
      <c r="G1" s="744"/>
      <c r="H1" s="744"/>
      <c r="I1" s="744"/>
      <c r="J1" s="744"/>
    </row>
    <row r="2" spans="1:18" s="4" customFormat="1" ht="39" customHeight="1">
      <c r="A2" s="760" t="s">
        <v>1060</v>
      </c>
      <c r="B2" s="760"/>
      <c r="C2" s="760"/>
      <c r="D2" s="760"/>
      <c r="E2" s="760"/>
      <c r="F2" s="760"/>
      <c r="G2" s="760"/>
      <c r="H2" s="760"/>
      <c r="I2" s="760"/>
      <c r="J2" s="760"/>
    </row>
    <row r="3" spans="1:18" ht="45" customHeight="1">
      <c r="A3" s="74" t="s">
        <v>3</v>
      </c>
      <c r="B3" s="449" t="s">
        <v>199</v>
      </c>
      <c r="C3" s="755" t="s">
        <v>4</v>
      </c>
      <c r="D3" s="755"/>
      <c r="E3" s="755"/>
      <c r="F3" s="755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61" t="s">
        <v>1006</v>
      </c>
      <c r="C4" s="761"/>
      <c r="D4" s="761"/>
      <c r="E4" s="761"/>
      <c r="F4" s="761"/>
      <c r="G4" s="761"/>
      <c r="H4" s="761"/>
      <c r="I4" s="761"/>
      <c r="J4" s="761"/>
      <c r="M4" s="40" t="s">
        <v>1032</v>
      </c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  <c r="M5" s="1">
        <v>150</v>
      </c>
    </row>
    <row r="6" spans="1:18" ht="44.25" hidden="1" customHeight="1">
      <c r="A6" s="755"/>
      <c r="B6" s="756"/>
      <c r="C6" s="757" t="s">
        <v>733</v>
      </c>
      <c r="D6" s="757"/>
      <c r="E6" s="757"/>
      <c r="F6" s="757"/>
      <c r="G6" s="758" t="s">
        <v>177</v>
      </c>
      <c r="H6" s="759" t="s">
        <v>34</v>
      </c>
      <c r="I6" s="377"/>
      <c r="J6" s="521"/>
    </row>
    <row r="7" spans="1:18" ht="21.75" hidden="1" customHeight="1">
      <c r="A7" s="755"/>
      <c r="B7" s="756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58"/>
      <c r="H7" s="759"/>
      <c r="I7" s="377"/>
      <c r="J7" s="521"/>
    </row>
    <row r="8" spans="1:18" ht="18" customHeight="1">
      <c r="A8" s="64" t="s">
        <v>34</v>
      </c>
      <c r="B8" s="571" t="s">
        <v>14</v>
      </c>
      <c r="C8" s="736" t="s">
        <v>108</v>
      </c>
      <c r="D8" s="736"/>
      <c r="E8" s="736"/>
      <c r="F8" s="736"/>
      <c r="G8" s="736"/>
      <c r="H8" s="736"/>
      <c r="I8" s="736"/>
      <c r="J8" s="736"/>
    </row>
    <row r="9" spans="1:18" s="14" customFormat="1" ht="31.5" customHeight="1">
      <c r="A9" s="74">
        <v>1</v>
      </c>
      <c r="B9" s="449" t="s">
        <v>952</v>
      </c>
      <c r="C9" s="762" t="s">
        <v>1018</v>
      </c>
      <c r="D9" s="762"/>
      <c r="E9" s="762"/>
      <c r="F9" s="762"/>
      <c r="G9" s="74" t="s">
        <v>176</v>
      </c>
      <c r="H9" s="78">
        <f>M5*1</f>
        <v>150</v>
      </c>
      <c r="I9" s="78"/>
      <c r="J9" s="662"/>
    </row>
    <row r="10" spans="1:18" ht="54" hidden="1" customHeight="1">
      <c r="A10" s="755"/>
      <c r="B10" s="763"/>
      <c r="C10" s="764" t="s">
        <v>969</v>
      </c>
      <c r="D10" s="764"/>
      <c r="E10" s="764"/>
      <c r="F10" s="764"/>
      <c r="G10" s="758" t="s">
        <v>177</v>
      </c>
      <c r="H10" s="765" t="s">
        <v>34</v>
      </c>
      <c r="I10" s="377"/>
      <c r="J10" s="521"/>
    </row>
    <row r="11" spans="1:18" ht="21" hidden="1" customHeight="1">
      <c r="A11" s="755"/>
      <c r="B11" s="763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58"/>
      <c r="H11" s="765"/>
      <c r="I11" s="377"/>
      <c r="J11" s="521"/>
    </row>
    <row r="12" spans="1:18" ht="17.25" customHeight="1">
      <c r="A12" s="64" t="s">
        <v>34</v>
      </c>
      <c r="B12" s="571" t="s">
        <v>15</v>
      </c>
      <c r="C12" s="736" t="s">
        <v>10</v>
      </c>
      <c r="D12" s="736"/>
      <c r="E12" s="736"/>
      <c r="F12" s="736"/>
      <c r="G12" s="736"/>
      <c r="H12" s="736"/>
      <c r="I12" s="736"/>
      <c r="J12" s="736"/>
      <c r="R12" s="40">
        <v>13</v>
      </c>
    </row>
    <row r="13" spans="1:18" ht="25.5" hidden="1" customHeight="1">
      <c r="A13" s="786"/>
      <c r="B13" s="787"/>
      <c r="C13" s="788" t="s">
        <v>974</v>
      </c>
      <c r="D13" s="788"/>
      <c r="E13" s="788"/>
      <c r="F13" s="788"/>
      <c r="G13" s="789" t="s">
        <v>920</v>
      </c>
      <c r="H13" s="790" t="s">
        <v>34</v>
      </c>
      <c r="I13" s="377"/>
      <c r="J13" s="521"/>
      <c r="M13" s="784"/>
      <c r="N13" s="784"/>
      <c r="O13" s="784"/>
      <c r="P13" s="784"/>
    </row>
    <row r="14" spans="1:18" ht="20.25" hidden="1" customHeight="1">
      <c r="A14" s="786"/>
      <c r="B14" s="787"/>
      <c r="C14" s="645" t="s">
        <v>713</v>
      </c>
      <c r="D14" s="652" t="e">
        <f>#REF!</f>
        <v>#REF!</v>
      </c>
      <c r="E14" s="290" t="s">
        <v>708</v>
      </c>
      <c r="F14" s="652" t="s">
        <v>718</v>
      </c>
      <c r="G14" s="789"/>
      <c r="H14" s="790"/>
      <c r="I14" s="377"/>
      <c r="J14" s="521"/>
    </row>
    <row r="15" spans="1:18" ht="33" customHeight="1">
      <c r="A15" s="642">
        <v>2</v>
      </c>
      <c r="B15" s="641" t="s">
        <v>735</v>
      </c>
      <c r="C15" s="785" t="s">
        <v>1061</v>
      </c>
      <c r="D15" s="785"/>
      <c r="E15" s="785"/>
      <c r="F15" s="785"/>
      <c r="G15" s="74" t="s">
        <v>176</v>
      </c>
      <c r="H15" s="78">
        <f>50*0.8</f>
        <v>40</v>
      </c>
      <c r="I15" s="78"/>
      <c r="J15" s="662"/>
    </row>
    <row r="16" spans="1:18" ht="30.75" customHeight="1">
      <c r="A16" s="74">
        <v>3</v>
      </c>
      <c r="B16" s="641" t="s">
        <v>917</v>
      </c>
      <c r="C16" s="785" t="s">
        <v>1062</v>
      </c>
      <c r="D16" s="785"/>
      <c r="E16" s="785"/>
      <c r="F16" s="785"/>
      <c r="G16" s="74" t="s">
        <v>11</v>
      </c>
      <c r="H16" s="78">
        <v>10</v>
      </c>
      <c r="I16" s="78"/>
      <c r="J16" s="662"/>
    </row>
    <row r="17" spans="1:106" ht="32.25" customHeight="1">
      <c r="A17" s="21"/>
      <c r="B17" s="448" t="s">
        <v>111</v>
      </c>
      <c r="C17" s="737" t="s">
        <v>189</v>
      </c>
      <c r="D17" s="737"/>
      <c r="E17" s="737"/>
      <c r="F17" s="737"/>
      <c r="G17" s="737"/>
      <c r="H17" s="737"/>
      <c r="I17" s="737"/>
      <c r="J17" s="737"/>
    </row>
    <row r="18" spans="1:106" s="15" customFormat="1" ht="21" customHeight="1">
      <c r="A18" s="64" t="s">
        <v>34</v>
      </c>
      <c r="B18" s="571" t="s">
        <v>142</v>
      </c>
      <c r="C18" s="736" t="s">
        <v>147</v>
      </c>
      <c r="D18" s="736"/>
      <c r="E18" s="736"/>
      <c r="F18" s="736"/>
      <c r="G18" s="736"/>
      <c r="H18" s="736"/>
      <c r="I18" s="736"/>
      <c r="J18" s="736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</row>
    <row r="19" spans="1:106" s="15" customFormat="1" ht="47.25" customHeight="1">
      <c r="A19" s="74">
        <v>4</v>
      </c>
      <c r="B19" s="572" t="s">
        <v>143</v>
      </c>
      <c r="C19" s="768" t="s">
        <v>1054</v>
      </c>
      <c r="D19" s="768"/>
      <c r="E19" s="768"/>
      <c r="F19" s="768"/>
      <c r="G19" s="74" t="s">
        <v>179</v>
      </c>
      <c r="H19" s="78">
        <f>M5*0.8</f>
        <v>120</v>
      </c>
      <c r="I19" s="78"/>
      <c r="J19" s="662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54" hidden="1" customHeight="1">
      <c r="A20" s="755"/>
      <c r="B20" s="766"/>
      <c r="C20" s="764" t="s">
        <v>978</v>
      </c>
      <c r="D20" s="764"/>
      <c r="E20" s="764"/>
      <c r="F20" s="764"/>
      <c r="G20" s="758" t="s">
        <v>178</v>
      </c>
      <c r="H20" s="767" t="s">
        <v>34</v>
      </c>
      <c r="I20" s="632"/>
      <c r="J20" s="66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15" customFormat="1" ht="18" hidden="1" customHeight="1">
      <c r="A21" s="755"/>
      <c r="B21" s="766"/>
      <c r="C21" s="672" t="s">
        <v>714</v>
      </c>
      <c r="D21" s="67" t="e">
        <f>#REF!</f>
        <v>#REF!</v>
      </c>
      <c r="E21" s="109" t="str">
        <f>G20</f>
        <v>m3</v>
      </c>
      <c r="F21" s="67" t="s">
        <v>716</v>
      </c>
      <c r="G21" s="758"/>
      <c r="H21" s="767"/>
      <c r="I21" s="632"/>
      <c r="J21" s="66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</row>
    <row r="22" spans="1:106" s="3" customFormat="1" ht="31.5" customHeight="1">
      <c r="A22" s="21"/>
      <c r="B22" s="448" t="s">
        <v>57</v>
      </c>
      <c r="C22" s="737" t="s">
        <v>181</v>
      </c>
      <c r="D22" s="737"/>
      <c r="E22" s="737"/>
      <c r="F22" s="737"/>
      <c r="G22" s="737"/>
      <c r="H22" s="737"/>
      <c r="I22" s="737"/>
      <c r="J22" s="737"/>
    </row>
    <row r="23" spans="1:106" s="1" customFormat="1" ht="18" customHeight="1">
      <c r="A23" s="64" t="s">
        <v>34</v>
      </c>
      <c r="B23" s="571" t="s">
        <v>98</v>
      </c>
      <c r="C23" s="736" t="s">
        <v>99</v>
      </c>
      <c r="D23" s="736"/>
      <c r="E23" s="736"/>
      <c r="F23" s="736"/>
      <c r="G23" s="736"/>
      <c r="H23" s="736"/>
      <c r="I23" s="736"/>
      <c r="J23" s="736"/>
    </row>
    <row r="24" spans="1:106" s="1" customFormat="1" ht="34.5" customHeight="1">
      <c r="A24" s="86">
        <v>5</v>
      </c>
      <c r="B24" s="431" t="s">
        <v>970</v>
      </c>
      <c r="C24" s="778" t="s">
        <v>1056</v>
      </c>
      <c r="D24" s="778"/>
      <c r="E24" s="778"/>
      <c r="F24" s="778"/>
      <c r="G24" s="86" t="s">
        <v>176</v>
      </c>
      <c r="H24" s="87">
        <f>M5*1</f>
        <v>150</v>
      </c>
      <c r="I24" s="566"/>
      <c r="J24" s="662"/>
    </row>
    <row r="25" spans="1:106" s="1" customFormat="1" ht="33" customHeight="1">
      <c r="A25" s="64" t="s">
        <v>34</v>
      </c>
      <c r="B25" s="571" t="s">
        <v>114</v>
      </c>
      <c r="C25" s="736" t="s">
        <v>1024</v>
      </c>
      <c r="D25" s="736"/>
      <c r="E25" s="736"/>
      <c r="F25" s="736"/>
      <c r="G25" s="736"/>
      <c r="H25" s="736"/>
      <c r="I25" s="736"/>
      <c r="J25" s="736"/>
    </row>
    <row r="26" spans="1:106" s="1" customFormat="1" ht="33" customHeight="1">
      <c r="A26" s="86">
        <v>6</v>
      </c>
      <c r="B26" s="564" t="s">
        <v>162</v>
      </c>
      <c r="C26" s="778" t="s">
        <v>1023</v>
      </c>
      <c r="D26" s="778"/>
      <c r="E26" s="778"/>
      <c r="F26" s="778"/>
      <c r="G26" s="86" t="s">
        <v>176</v>
      </c>
      <c r="H26" s="87">
        <f>H24</f>
        <v>150</v>
      </c>
      <c r="I26" s="566"/>
      <c r="J26" s="662"/>
    </row>
    <row r="27" spans="1:106" s="8" customFormat="1" ht="18" customHeight="1">
      <c r="A27" s="64" t="s">
        <v>34</v>
      </c>
      <c r="B27" s="571" t="s">
        <v>972</v>
      </c>
      <c r="C27" s="736" t="s">
        <v>20</v>
      </c>
      <c r="D27" s="736"/>
      <c r="E27" s="736"/>
      <c r="F27" s="736"/>
      <c r="G27" s="736"/>
      <c r="H27" s="736"/>
      <c r="I27" s="736"/>
      <c r="J27" s="736"/>
    </row>
    <row r="28" spans="1:106" s="8" customFormat="1" ht="47.25" customHeight="1">
      <c r="A28" s="86">
        <v>7</v>
      </c>
      <c r="B28" s="623" t="s">
        <v>1028</v>
      </c>
      <c r="C28" s="769" t="s">
        <v>1027</v>
      </c>
      <c r="D28" s="769"/>
      <c r="E28" s="769"/>
      <c r="F28" s="769"/>
      <c r="G28" s="86" t="s">
        <v>176</v>
      </c>
      <c r="H28" s="87">
        <f>M5*3.7</f>
        <v>555</v>
      </c>
      <c r="I28" s="566"/>
      <c r="J28" s="662"/>
    </row>
    <row r="29" spans="1:106" s="8" customFormat="1" ht="39" customHeight="1">
      <c r="A29" s="86">
        <v>8</v>
      </c>
      <c r="B29" s="623" t="s">
        <v>984</v>
      </c>
      <c r="C29" s="769" t="s">
        <v>485</v>
      </c>
      <c r="D29" s="769"/>
      <c r="E29" s="769"/>
      <c r="F29" s="769"/>
      <c r="G29" s="86" t="s">
        <v>176</v>
      </c>
      <c r="H29" s="87">
        <f>H26</f>
        <v>150</v>
      </c>
      <c r="I29" s="566"/>
      <c r="J29" s="662"/>
      <c r="L29" s="8" t="s">
        <v>1081</v>
      </c>
    </row>
    <row r="30" spans="1:106" s="8" customFormat="1" ht="33" customHeight="1">
      <c r="A30" s="524"/>
      <c r="B30" s="524" t="s">
        <v>59</v>
      </c>
      <c r="C30" s="770" t="s">
        <v>182</v>
      </c>
      <c r="D30" s="770"/>
      <c r="E30" s="770"/>
      <c r="F30" s="770"/>
      <c r="G30" s="770"/>
      <c r="H30" s="770"/>
      <c r="I30" s="770"/>
      <c r="J30" s="770"/>
    </row>
    <row r="31" spans="1:106" s="16" customFormat="1" ht="25.5" hidden="1" customHeight="1">
      <c r="A31" s="64" t="s">
        <v>34</v>
      </c>
      <c r="B31" s="276" t="s">
        <v>116</v>
      </c>
      <c r="C31" s="741" t="s">
        <v>776</v>
      </c>
      <c r="D31" s="741"/>
      <c r="E31" s="741"/>
      <c r="F31" s="741"/>
      <c r="G31" s="741" t="s">
        <v>8</v>
      </c>
      <c r="H31" s="741"/>
      <c r="I31" s="673"/>
      <c r="J31" s="669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</row>
    <row r="32" spans="1:106" s="204" customFormat="1" ht="29.25" hidden="1" customHeight="1">
      <c r="A32" s="86">
        <v>27</v>
      </c>
      <c r="B32" s="650" t="s">
        <v>116</v>
      </c>
      <c r="C32" s="771" t="s">
        <v>820</v>
      </c>
      <c r="D32" s="771"/>
      <c r="E32" s="771"/>
      <c r="F32" s="771"/>
      <c r="G32" s="289" t="s">
        <v>919</v>
      </c>
      <c r="H32" s="671" t="e">
        <f>SUM(#REF!)</f>
        <v>#REF!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9.25" hidden="1" customHeight="1">
      <c r="A33" s="772"/>
      <c r="B33" s="773"/>
      <c r="C33" s="774" t="s">
        <v>778</v>
      </c>
      <c r="D33" s="774"/>
      <c r="E33" s="774"/>
      <c r="F33" s="774"/>
      <c r="G33" s="775" t="s">
        <v>920</v>
      </c>
      <c r="H33" s="776" t="s">
        <v>34</v>
      </c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772"/>
      <c r="B34" s="773"/>
      <c r="C34" s="645" t="s">
        <v>713</v>
      </c>
      <c r="D34" s="652" t="e">
        <f>#REF!</f>
        <v>#REF!</v>
      </c>
      <c r="E34" s="290" t="str">
        <f>G33</f>
        <v>m2</v>
      </c>
      <c r="F34" s="652" t="s">
        <v>716</v>
      </c>
      <c r="G34" s="775"/>
      <c r="H34" s="776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20.25" hidden="1" customHeight="1">
      <c r="A35" s="276" t="s">
        <v>34</v>
      </c>
      <c r="B35" s="276" t="s">
        <v>845</v>
      </c>
      <c r="C35" s="741" t="s">
        <v>847</v>
      </c>
      <c r="D35" s="741" t="s">
        <v>8</v>
      </c>
      <c r="E35" s="741"/>
      <c r="F35" s="741"/>
      <c r="G35" s="655" t="s">
        <v>8</v>
      </c>
      <c r="H35" s="655"/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36" hidden="1" customHeight="1">
      <c r="A36" s="593">
        <v>44</v>
      </c>
      <c r="B36" s="656" t="s">
        <v>846</v>
      </c>
      <c r="C36" s="771" t="s">
        <v>915</v>
      </c>
      <c r="D36" s="771"/>
      <c r="E36" s="771"/>
      <c r="F36" s="771"/>
      <c r="G36" s="289" t="s">
        <v>919</v>
      </c>
      <c r="H36" s="671" t="e">
        <f>SUM(#REF!)</f>
        <v>#REF!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45.75" hidden="1" customHeight="1">
      <c r="A37" s="775"/>
      <c r="B37" s="773"/>
      <c r="C37" s="774" t="s">
        <v>940</v>
      </c>
      <c r="D37" s="774"/>
      <c r="E37" s="774"/>
      <c r="F37" s="774"/>
      <c r="G37" s="775" t="s">
        <v>920</v>
      </c>
      <c r="H37" s="776" t="s">
        <v>34</v>
      </c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24.75" hidden="1" customHeight="1">
      <c r="A38" s="775"/>
      <c r="B38" s="773"/>
      <c r="C38" s="645" t="s">
        <v>713</v>
      </c>
      <c r="D38" s="652" t="e">
        <f>#REF!</f>
        <v>#REF!</v>
      </c>
      <c r="E38" s="290" t="str">
        <f>G37</f>
        <v>m2</v>
      </c>
      <c r="F38" s="652" t="s">
        <v>811</v>
      </c>
      <c r="G38" s="775"/>
      <c r="H38" s="776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34.5" hidden="1" customHeight="1">
      <c r="A39" s="64" t="s">
        <v>34</v>
      </c>
      <c r="B39" s="276" t="s">
        <v>848</v>
      </c>
      <c r="C39" s="741" t="s">
        <v>849</v>
      </c>
      <c r="D39" s="741" t="s">
        <v>8</v>
      </c>
      <c r="E39" s="741"/>
      <c r="F39" s="741"/>
      <c r="G39" s="655" t="s">
        <v>8</v>
      </c>
      <c r="H39" s="655"/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20.25" hidden="1" customHeight="1">
      <c r="A40" s="458">
        <v>29</v>
      </c>
      <c r="B40" s="656" t="s">
        <v>846</v>
      </c>
      <c r="C40" s="771" t="s">
        <v>844</v>
      </c>
      <c r="D40" s="771"/>
      <c r="E40" s="771"/>
      <c r="F40" s="771"/>
      <c r="G40" s="289" t="s">
        <v>919</v>
      </c>
      <c r="H40" s="671" t="e">
        <f>SUM(#REF!)</f>
        <v>#REF!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47.25" hidden="1" customHeight="1">
      <c r="A41" s="772"/>
      <c r="B41" s="773"/>
      <c r="C41" s="774" t="s">
        <v>843</v>
      </c>
      <c r="D41" s="774"/>
      <c r="E41" s="774"/>
      <c r="F41" s="774"/>
      <c r="G41" s="775" t="s">
        <v>920</v>
      </c>
      <c r="H41" s="776" t="s">
        <v>34</v>
      </c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772"/>
      <c r="B42" s="773"/>
      <c r="C42" s="645" t="s">
        <v>713</v>
      </c>
      <c r="D42" s="652" t="e">
        <f>#REF!</f>
        <v>#REF!</v>
      </c>
      <c r="E42" s="290" t="str">
        <f>G41</f>
        <v>m2</v>
      </c>
      <c r="F42" s="652" t="s">
        <v>811</v>
      </c>
      <c r="G42" s="775"/>
      <c r="H42" s="776"/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20.25" hidden="1" customHeight="1">
      <c r="A43" s="458">
        <v>30</v>
      </c>
      <c r="B43" s="656" t="s">
        <v>851</v>
      </c>
      <c r="C43" s="771" t="s">
        <v>852</v>
      </c>
      <c r="D43" s="771"/>
      <c r="E43" s="771"/>
      <c r="F43" s="771"/>
      <c r="G43" s="289" t="s">
        <v>919</v>
      </c>
      <c r="H43" s="671" t="e">
        <f>SUM(#REF!)</f>
        <v>#REF!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45.75" hidden="1" customHeight="1">
      <c r="A44" s="772"/>
      <c r="B44" s="773"/>
      <c r="C44" s="774" t="s">
        <v>853</v>
      </c>
      <c r="D44" s="774"/>
      <c r="E44" s="774"/>
      <c r="F44" s="774"/>
      <c r="G44" s="775" t="s">
        <v>920</v>
      </c>
      <c r="H44" s="776" t="s">
        <v>34</v>
      </c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hidden="1" customHeight="1">
      <c r="A45" s="772"/>
      <c r="B45" s="773"/>
      <c r="C45" s="645" t="s">
        <v>713</v>
      </c>
      <c r="D45" s="652" t="e">
        <f>#REF!</f>
        <v>#REF!</v>
      </c>
      <c r="E45" s="290" t="str">
        <f>G44</f>
        <v>m2</v>
      </c>
      <c r="F45" s="652" t="s">
        <v>811</v>
      </c>
      <c r="G45" s="775"/>
      <c r="H45" s="776"/>
      <c r="I45" s="674"/>
      <c r="J45" s="665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20.25" customHeight="1">
      <c r="A46" s="571"/>
      <c r="B46" s="64" t="s">
        <v>116</v>
      </c>
      <c r="C46" s="736" t="s">
        <v>776</v>
      </c>
      <c r="D46" s="736"/>
      <c r="E46" s="736"/>
      <c r="F46" s="736"/>
      <c r="G46" s="736"/>
      <c r="H46" s="736"/>
      <c r="I46" s="736"/>
      <c r="J46" s="736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36.75" customHeight="1">
      <c r="A47" s="679" t="s">
        <v>1029</v>
      </c>
      <c r="B47" s="564" t="s">
        <v>213</v>
      </c>
      <c r="C47" s="769" t="s">
        <v>1021</v>
      </c>
      <c r="D47" s="769"/>
      <c r="E47" s="769"/>
      <c r="F47" s="769"/>
      <c r="G47" s="458" t="s">
        <v>176</v>
      </c>
      <c r="H47" s="566">
        <v>20</v>
      </c>
      <c r="I47" s="566"/>
      <c r="J47" s="662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</row>
    <row r="48" spans="1:68" s="204" customFormat="1" ht="22.5" customHeight="1">
      <c r="A48" s="64" t="s">
        <v>34</v>
      </c>
      <c r="B48" s="64" t="s">
        <v>21</v>
      </c>
      <c r="C48" s="736" t="s">
        <v>1078</v>
      </c>
      <c r="D48" s="736"/>
      <c r="E48" s="736"/>
      <c r="F48" s="736"/>
      <c r="G48" s="736"/>
      <c r="H48" s="736"/>
      <c r="I48" s="736"/>
      <c r="J48" s="736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0.75" hidden="1" customHeight="1">
      <c r="A49" s="289">
        <v>45</v>
      </c>
      <c r="B49" s="656" t="s">
        <v>816</v>
      </c>
      <c r="C49" s="771" t="s">
        <v>935</v>
      </c>
      <c r="D49" s="771"/>
      <c r="E49" s="771"/>
      <c r="F49" s="771"/>
      <c r="G49" s="289" t="s">
        <v>924</v>
      </c>
      <c r="H49" s="671" t="e">
        <f>SUM(#REF!)</f>
        <v>#REF!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6.75" hidden="1" customHeight="1">
      <c r="A50" s="775"/>
      <c r="B50" s="777"/>
      <c r="C50" s="774" t="s">
        <v>936</v>
      </c>
      <c r="D50" s="774"/>
      <c r="E50" s="774"/>
      <c r="F50" s="774"/>
      <c r="G50" s="775" t="s">
        <v>924</v>
      </c>
      <c r="H50" s="776" t="s">
        <v>34</v>
      </c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30" hidden="1" customHeight="1">
      <c r="A51" s="775"/>
      <c r="B51" s="777"/>
      <c r="C51" s="645" t="s">
        <v>713</v>
      </c>
      <c r="D51" s="652" t="e">
        <f>#REF!</f>
        <v>#REF!</v>
      </c>
      <c r="E51" s="290" t="s">
        <v>924</v>
      </c>
      <c r="F51" s="652" t="s">
        <v>716</v>
      </c>
      <c r="G51" s="775"/>
      <c r="H51" s="776"/>
      <c r="I51" s="674"/>
      <c r="J51" s="665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204" customFormat="1" ht="43.5" customHeight="1">
      <c r="A52" s="86">
        <v>10</v>
      </c>
      <c r="B52" s="564" t="s">
        <v>1008</v>
      </c>
      <c r="C52" s="778" t="s">
        <v>1079</v>
      </c>
      <c r="D52" s="778"/>
      <c r="E52" s="778"/>
      <c r="F52" s="778"/>
      <c r="G52" s="86" t="s">
        <v>176</v>
      </c>
      <c r="H52" s="77">
        <f>M5*3*1.05</f>
        <v>472.5</v>
      </c>
      <c r="I52" s="77"/>
      <c r="J52" s="662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</row>
    <row r="53" spans="1:68" s="41" customFormat="1" ht="35.25" customHeight="1">
      <c r="A53" s="21"/>
      <c r="B53" s="448" t="s">
        <v>60</v>
      </c>
      <c r="C53" s="737" t="s">
        <v>183</v>
      </c>
      <c r="D53" s="737"/>
      <c r="E53" s="737"/>
      <c r="F53" s="737"/>
      <c r="G53" s="737"/>
      <c r="H53" s="737"/>
      <c r="I53" s="737"/>
      <c r="J53" s="737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</row>
    <row r="54" spans="1:68" s="8" customFormat="1" ht="19.5" customHeight="1">
      <c r="A54" s="64" t="s">
        <v>34</v>
      </c>
      <c r="B54" s="571" t="s">
        <v>23</v>
      </c>
      <c r="C54" s="736" t="s">
        <v>167</v>
      </c>
      <c r="D54" s="736"/>
      <c r="E54" s="736"/>
      <c r="F54" s="736"/>
      <c r="G54" s="736" t="s">
        <v>8</v>
      </c>
      <c r="H54" s="736"/>
      <c r="I54" s="736"/>
      <c r="J54" s="736"/>
    </row>
    <row r="55" spans="1:68" s="11" customFormat="1" ht="28.5" customHeight="1">
      <c r="A55" s="86">
        <v>11</v>
      </c>
      <c r="B55" s="432" t="s">
        <v>0</v>
      </c>
      <c r="C55" s="778" t="s">
        <v>74</v>
      </c>
      <c r="D55" s="778"/>
      <c r="E55" s="778"/>
      <c r="F55" s="778"/>
      <c r="G55" s="86" t="s">
        <v>176</v>
      </c>
      <c r="H55" s="87">
        <f>H9/2</f>
        <v>75</v>
      </c>
      <c r="I55" s="566"/>
      <c r="J55" s="662"/>
    </row>
    <row r="56" spans="1:68" s="8" customFormat="1" ht="38.25" hidden="1" customHeight="1">
      <c r="A56" s="779"/>
      <c r="B56" s="780"/>
      <c r="C56" s="781" t="s">
        <v>983</v>
      </c>
      <c r="D56" s="781"/>
      <c r="E56" s="781"/>
      <c r="F56" s="781"/>
      <c r="G56" s="772" t="s">
        <v>177</v>
      </c>
      <c r="H56" s="782" t="s">
        <v>34</v>
      </c>
      <c r="I56" s="106"/>
      <c r="J56" s="662" t="e">
        <f t="shared" ref="J56:J57" si="0">H56*I56</f>
        <v>#VALUE!</v>
      </c>
    </row>
    <row r="57" spans="1:68" s="8" customFormat="1" ht="16.5" hidden="1" customHeight="1">
      <c r="A57" s="779"/>
      <c r="B57" s="780"/>
      <c r="C57" s="672" t="s">
        <v>713</v>
      </c>
      <c r="D57" s="67" t="e">
        <f>#REF!</f>
        <v>#REF!</v>
      </c>
      <c r="E57" s="109" t="str">
        <f>G56</f>
        <v>m2</v>
      </c>
      <c r="F57" s="67" t="s">
        <v>715</v>
      </c>
      <c r="G57" s="772"/>
      <c r="H57" s="782"/>
      <c r="I57" s="106"/>
      <c r="J57" s="662">
        <f t="shared" si="0"/>
        <v>0</v>
      </c>
    </row>
    <row r="58" spans="1:68" s="8" customFormat="1" ht="19.5" customHeight="1">
      <c r="A58" s="64" t="s">
        <v>34</v>
      </c>
      <c r="B58" s="450" t="s">
        <v>976</v>
      </c>
      <c r="C58" s="736" t="s">
        <v>975</v>
      </c>
      <c r="D58" s="736"/>
      <c r="E58" s="736"/>
      <c r="F58" s="736"/>
      <c r="G58" s="736" t="s">
        <v>8</v>
      </c>
      <c r="H58" s="736"/>
      <c r="I58" s="736"/>
      <c r="J58" s="736"/>
    </row>
    <row r="59" spans="1:68" s="11" customFormat="1" ht="29.25" customHeight="1">
      <c r="A59" s="86">
        <v>12</v>
      </c>
      <c r="B59" s="432" t="s">
        <v>977</v>
      </c>
      <c r="C59" s="778" t="s">
        <v>1013</v>
      </c>
      <c r="D59" s="778"/>
      <c r="E59" s="778"/>
      <c r="F59" s="778"/>
      <c r="G59" s="86" t="s">
        <v>176</v>
      </c>
      <c r="H59" s="87">
        <f>M5*2*0.5</f>
        <v>150</v>
      </c>
      <c r="I59" s="77"/>
      <c r="J59" s="662"/>
    </row>
    <row r="60" spans="1:68" ht="21" customHeight="1">
      <c r="A60" s="783" t="s">
        <v>1014</v>
      </c>
      <c r="B60" s="783"/>
      <c r="C60" s="783"/>
      <c r="D60" s="783"/>
      <c r="E60" s="783"/>
      <c r="F60" s="783"/>
      <c r="G60" s="783"/>
      <c r="H60" s="783"/>
      <c r="I60" s="783"/>
      <c r="J60" s="592"/>
    </row>
    <row r="61" spans="1:68" ht="21" customHeight="1">
      <c r="A61" s="783" t="s">
        <v>76</v>
      </c>
      <c r="B61" s="783"/>
      <c r="C61" s="783"/>
      <c r="D61" s="783"/>
      <c r="E61" s="783"/>
      <c r="F61" s="783"/>
      <c r="G61" s="783"/>
      <c r="H61" s="783"/>
      <c r="I61" s="783"/>
      <c r="J61" s="592"/>
    </row>
    <row r="62" spans="1:68" ht="21" customHeight="1">
      <c r="A62" s="783" t="s">
        <v>90</v>
      </c>
      <c r="B62" s="783"/>
      <c r="C62" s="783"/>
      <c r="D62" s="783"/>
      <c r="E62" s="783"/>
      <c r="F62" s="783"/>
      <c r="G62" s="783"/>
      <c r="H62" s="783"/>
      <c r="I62" s="783"/>
      <c r="J62" s="592"/>
    </row>
    <row r="63" spans="1:68" ht="21" customHeight="1">
      <c r="A63" s="553"/>
      <c r="B63" s="553"/>
      <c r="C63" s="554"/>
      <c r="D63" s="556"/>
      <c r="E63" s="555"/>
      <c r="F63" s="555"/>
      <c r="G63" s="500"/>
      <c r="H63" s="547"/>
    </row>
    <row r="64" spans="1:68" ht="12.75" customHeight="1">
      <c r="B64" s="494"/>
      <c r="C64" s="507"/>
      <c r="D64" s="504"/>
      <c r="E64" s="494"/>
      <c r="F64" s="526"/>
      <c r="G64" s="526"/>
    </row>
    <row r="65" spans="1:106" ht="12.75" customHeight="1">
      <c r="B65" s="494"/>
      <c r="C65" s="507"/>
      <c r="D65" s="504"/>
      <c r="E65" s="494"/>
      <c r="F65" s="526"/>
      <c r="G65" s="526"/>
    </row>
    <row r="66" spans="1:106" s="18" customFormat="1" ht="12.75" customHeight="1">
      <c r="A66" s="17"/>
      <c r="B66" s="494"/>
      <c r="C66" s="507"/>
      <c r="D66" s="504"/>
      <c r="E66" s="494"/>
      <c r="F66" s="526"/>
      <c r="G66" s="526"/>
      <c r="I66" s="40"/>
      <c r="J66" s="488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</row>
    <row r="67" spans="1:106" s="18" customFormat="1" ht="12.75" customHeight="1">
      <c r="A67" s="17"/>
      <c r="B67" s="494"/>
      <c r="C67" s="507"/>
      <c r="D67" s="504"/>
      <c r="E67" s="494"/>
      <c r="F67" s="526"/>
      <c r="G67" s="526"/>
      <c r="I67" s="40"/>
      <c r="J67" s="488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</row>
  </sheetData>
  <mergeCells count="93">
    <mergeCell ref="C58:J58"/>
    <mergeCell ref="C59:F59"/>
    <mergeCell ref="A60:I60"/>
    <mergeCell ref="A61:I61"/>
    <mergeCell ref="A62:I62"/>
    <mergeCell ref="C52:F52"/>
    <mergeCell ref="C53:J53"/>
    <mergeCell ref="C54:J54"/>
    <mergeCell ref="C55:F55"/>
    <mergeCell ref="A56:A57"/>
    <mergeCell ref="B56:B57"/>
    <mergeCell ref="C56:F56"/>
    <mergeCell ref="G56:G57"/>
    <mergeCell ref="H56:H57"/>
    <mergeCell ref="C46:J46"/>
    <mergeCell ref="C47:F47"/>
    <mergeCell ref="C48:J48"/>
    <mergeCell ref="C49:F49"/>
    <mergeCell ref="A50:A51"/>
    <mergeCell ref="B50:B51"/>
    <mergeCell ref="C50:F50"/>
    <mergeCell ref="G50:G51"/>
    <mergeCell ref="H50:H51"/>
    <mergeCell ref="H44:H45"/>
    <mergeCell ref="H37:H38"/>
    <mergeCell ref="C39:F39"/>
    <mergeCell ref="C40:F40"/>
    <mergeCell ref="A41:A42"/>
    <mergeCell ref="B41:B42"/>
    <mergeCell ref="C41:F41"/>
    <mergeCell ref="G41:G42"/>
    <mergeCell ref="H41:H42"/>
    <mergeCell ref="G37:G38"/>
    <mergeCell ref="C43:F43"/>
    <mergeCell ref="A44:A45"/>
    <mergeCell ref="B44:B45"/>
    <mergeCell ref="C44:F44"/>
    <mergeCell ref="G44:G45"/>
    <mergeCell ref="C35:F35"/>
    <mergeCell ref="C36:F36"/>
    <mergeCell ref="A37:A38"/>
    <mergeCell ref="B37:B38"/>
    <mergeCell ref="C37:F37"/>
    <mergeCell ref="C29:F29"/>
    <mergeCell ref="C30:J30"/>
    <mergeCell ref="C31:H31"/>
    <mergeCell ref="C32:F32"/>
    <mergeCell ref="A33:A34"/>
    <mergeCell ref="B33:B34"/>
    <mergeCell ref="C33:F33"/>
    <mergeCell ref="G33:G34"/>
    <mergeCell ref="H33:H34"/>
    <mergeCell ref="C28:F28"/>
    <mergeCell ref="A20:A21"/>
    <mergeCell ref="B20:B21"/>
    <mergeCell ref="C20:F20"/>
    <mergeCell ref="G20:G21"/>
    <mergeCell ref="C23:J23"/>
    <mergeCell ref="C24:F24"/>
    <mergeCell ref="C25:J25"/>
    <mergeCell ref="C26:F26"/>
    <mergeCell ref="C27:J27"/>
    <mergeCell ref="H20:H21"/>
    <mergeCell ref="C22:J22"/>
    <mergeCell ref="M13:P13"/>
    <mergeCell ref="C15:F15"/>
    <mergeCell ref="C16:F16"/>
    <mergeCell ref="C17:J17"/>
    <mergeCell ref="C18:J18"/>
    <mergeCell ref="C19:F19"/>
    <mergeCell ref="C12:J12"/>
    <mergeCell ref="A13:A14"/>
    <mergeCell ref="B13:B14"/>
    <mergeCell ref="C13:F13"/>
    <mergeCell ref="G13:G14"/>
    <mergeCell ref="H13:H14"/>
    <mergeCell ref="C8:J8"/>
    <mergeCell ref="C9:F9"/>
    <mergeCell ref="A10:A11"/>
    <mergeCell ref="B10:B11"/>
    <mergeCell ref="C10:F10"/>
    <mergeCell ref="G10:G11"/>
    <mergeCell ref="H10:H11"/>
    <mergeCell ref="A1:J1"/>
    <mergeCell ref="A2:J2"/>
    <mergeCell ref="C3:F3"/>
    <mergeCell ref="B4:J4"/>
    <mergeCell ref="C5:J5"/>
    <mergeCell ref="A6:A7"/>
    <mergeCell ref="B6:B7"/>
    <mergeCell ref="C6:F6"/>
    <mergeCell ref="G6:G7"/>
    <mergeCell ref="H6:H7"/>
  </mergeCells>
  <printOptions gridLines="1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6"/>
  <sheetViews>
    <sheetView view="pageBreakPreview" zoomScaleNormal="100" zoomScaleSheetLayoutView="100" workbookViewId="0">
      <selection activeCell="A2" sqref="A2:J2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4.5703125" style="488" customWidth="1"/>
    <col min="11" max="16384" width="9.140625" style="40"/>
  </cols>
  <sheetData>
    <row r="1" spans="1:18" s="4" customFormat="1" ht="31.5" customHeight="1">
      <c r="A1" s="744" t="s">
        <v>1084</v>
      </c>
      <c r="B1" s="744"/>
      <c r="C1" s="744"/>
      <c r="D1" s="744"/>
      <c r="E1" s="744"/>
      <c r="F1" s="744"/>
      <c r="G1" s="744"/>
      <c r="H1" s="744"/>
      <c r="I1" s="744"/>
      <c r="J1" s="744"/>
    </row>
    <row r="2" spans="1:18" s="4" customFormat="1" ht="39" customHeight="1">
      <c r="A2" s="760" t="s">
        <v>1071</v>
      </c>
      <c r="B2" s="760"/>
      <c r="C2" s="760"/>
      <c r="D2" s="760"/>
      <c r="E2" s="760"/>
      <c r="F2" s="760"/>
      <c r="G2" s="760"/>
      <c r="H2" s="760"/>
      <c r="I2" s="760"/>
      <c r="J2" s="760"/>
    </row>
    <row r="3" spans="1:18" ht="45" customHeight="1">
      <c r="A3" s="74" t="s">
        <v>3</v>
      </c>
      <c r="B3" s="449" t="s">
        <v>199</v>
      </c>
      <c r="C3" s="755" t="s">
        <v>4</v>
      </c>
      <c r="D3" s="755"/>
      <c r="E3" s="755"/>
      <c r="F3" s="755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61" t="s">
        <v>1006</v>
      </c>
      <c r="C4" s="761"/>
      <c r="D4" s="761"/>
      <c r="E4" s="761"/>
      <c r="F4" s="761"/>
      <c r="G4" s="761"/>
      <c r="H4" s="761"/>
      <c r="I4" s="761"/>
      <c r="J4" s="761"/>
      <c r="M4" s="40" t="s">
        <v>1032</v>
      </c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  <c r="M5" s="1">
        <f>74+115</f>
        <v>189</v>
      </c>
    </row>
    <row r="6" spans="1:18" ht="44.25" hidden="1" customHeight="1">
      <c r="A6" s="755"/>
      <c r="B6" s="756"/>
      <c r="C6" s="757" t="s">
        <v>733</v>
      </c>
      <c r="D6" s="757"/>
      <c r="E6" s="757"/>
      <c r="F6" s="757"/>
      <c r="G6" s="758" t="s">
        <v>177</v>
      </c>
      <c r="H6" s="759" t="s">
        <v>34</v>
      </c>
      <c r="I6" s="377"/>
      <c r="J6" s="521"/>
    </row>
    <row r="7" spans="1:18" ht="21.75" hidden="1" customHeight="1">
      <c r="A7" s="755"/>
      <c r="B7" s="756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58"/>
      <c r="H7" s="759"/>
      <c r="I7" s="377"/>
      <c r="J7" s="521"/>
    </row>
    <row r="8" spans="1:18" ht="18" customHeight="1">
      <c r="A8" s="64" t="s">
        <v>34</v>
      </c>
      <c r="B8" s="571" t="s">
        <v>14</v>
      </c>
      <c r="C8" s="736" t="s">
        <v>108</v>
      </c>
      <c r="D8" s="736"/>
      <c r="E8" s="736"/>
      <c r="F8" s="736"/>
      <c r="G8" s="736"/>
      <c r="H8" s="736"/>
      <c r="I8" s="736"/>
      <c r="J8" s="736"/>
    </row>
    <row r="9" spans="1:18" s="14" customFormat="1" ht="31.5" customHeight="1">
      <c r="A9" s="74">
        <v>1</v>
      </c>
      <c r="B9" s="449" t="s">
        <v>952</v>
      </c>
      <c r="C9" s="762" t="s">
        <v>1018</v>
      </c>
      <c r="D9" s="762"/>
      <c r="E9" s="762"/>
      <c r="F9" s="762"/>
      <c r="G9" s="74" t="s">
        <v>176</v>
      </c>
      <c r="H9" s="78">
        <f>M5*1</f>
        <v>189</v>
      </c>
      <c r="I9" s="78"/>
      <c r="J9" s="662"/>
    </row>
    <row r="10" spans="1:18" ht="54" hidden="1" customHeight="1">
      <c r="A10" s="755"/>
      <c r="B10" s="763"/>
      <c r="C10" s="764" t="s">
        <v>969</v>
      </c>
      <c r="D10" s="764"/>
      <c r="E10" s="764"/>
      <c r="F10" s="764"/>
      <c r="G10" s="758" t="s">
        <v>177</v>
      </c>
      <c r="H10" s="765" t="s">
        <v>34</v>
      </c>
      <c r="I10" s="377"/>
      <c r="J10" s="521"/>
    </row>
    <row r="11" spans="1:18" ht="21" hidden="1" customHeight="1">
      <c r="A11" s="755"/>
      <c r="B11" s="763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58"/>
      <c r="H11" s="765"/>
      <c r="I11" s="377"/>
      <c r="J11" s="521"/>
    </row>
    <row r="12" spans="1:18" ht="17.25" customHeight="1">
      <c r="A12" s="64" t="s">
        <v>34</v>
      </c>
      <c r="B12" s="571" t="s">
        <v>15</v>
      </c>
      <c r="C12" s="736" t="s">
        <v>10</v>
      </c>
      <c r="D12" s="736"/>
      <c r="E12" s="736"/>
      <c r="F12" s="736"/>
      <c r="G12" s="736"/>
      <c r="H12" s="736"/>
      <c r="I12" s="736"/>
      <c r="J12" s="736"/>
      <c r="R12" s="40">
        <v>13</v>
      </c>
    </row>
    <row r="13" spans="1:18" ht="25.5" hidden="1" customHeight="1">
      <c r="A13" s="786"/>
      <c r="B13" s="787"/>
      <c r="C13" s="788" t="s">
        <v>974</v>
      </c>
      <c r="D13" s="788"/>
      <c r="E13" s="788"/>
      <c r="F13" s="788"/>
      <c r="G13" s="789" t="s">
        <v>920</v>
      </c>
      <c r="H13" s="790" t="s">
        <v>34</v>
      </c>
      <c r="I13" s="377"/>
      <c r="J13" s="521"/>
      <c r="M13" s="784"/>
      <c r="N13" s="784"/>
      <c r="O13" s="784"/>
      <c r="P13" s="784"/>
    </row>
    <row r="14" spans="1:18" ht="20.25" hidden="1" customHeight="1">
      <c r="A14" s="786"/>
      <c r="B14" s="787"/>
      <c r="C14" s="645" t="s">
        <v>713</v>
      </c>
      <c r="D14" s="652" t="e">
        <f>#REF!</f>
        <v>#REF!</v>
      </c>
      <c r="E14" s="290" t="s">
        <v>708</v>
      </c>
      <c r="F14" s="652" t="s">
        <v>718</v>
      </c>
      <c r="G14" s="789"/>
      <c r="H14" s="790"/>
      <c r="I14" s="377"/>
      <c r="J14" s="521"/>
    </row>
    <row r="15" spans="1:18" ht="33" customHeight="1">
      <c r="A15" s="74">
        <v>2</v>
      </c>
      <c r="B15" s="641" t="s">
        <v>31</v>
      </c>
      <c r="C15" s="785" t="s">
        <v>1019</v>
      </c>
      <c r="D15" s="785"/>
      <c r="E15" s="785"/>
      <c r="F15" s="785"/>
      <c r="G15" s="74" t="s">
        <v>176</v>
      </c>
      <c r="H15" s="78">
        <v>18</v>
      </c>
      <c r="I15" s="78"/>
      <c r="J15" s="662"/>
    </row>
    <row r="16" spans="1:18" ht="32.25" customHeight="1">
      <c r="A16" s="21"/>
      <c r="B16" s="448" t="s">
        <v>111</v>
      </c>
      <c r="C16" s="737" t="s">
        <v>189</v>
      </c>
      <c r="D16" s="737"/>
      <c r="E16" s="737"/>
      <c r="F16" s="737"/>
      <c r="G16" s="737"/>
      <c r="H16" s="737"/>
      <c r="I16" s="737"/>
      <c r="J16" s="737"/>
    </row>
    <row r="17" spans="1:106" s="15" customFormat="1" ht="21" customHeight="1">
      <c r="A17" s="64" t="s">
        <v>34</v>
      </c>
      <c r="B17" s="571" t="s">
        <v>142</v>
      </c>
      <c r="C17" s="736" t="s">
        <v>147</v>
      </c>
      <c r="D17" s="736"/>
      <c r="E17" s="736"/>
      <c r="F17" s="736"/>
      <c r="G17" s="736"/>
      <c r="H17" s="736"/>
      <c r="I17" s="736"/>
      <c r="J17" s="736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</row>
    <row r="18" spans="1:106" s="15" customFormat="1" ht="47.25" customHeight="1">
      <c r="A18" s="74">
        <v>3</v>
      </c>
      <c r="B18" s="572" t="s">
        <v>143</v>
      </c>
      <c r="C18" s="768" t="s">
        <v>1054</v>
      </c>
      <c r="D18" s="768"/>
      <c r="E18" s="768"/>
      <c r="F18" s="768"/>
      <c r="G18" s="74" t="s">
        <v>179</v>
      </c>
      <c r="H18" s="78">
        <f>M5*0.8</f>
        <v>151.19999999999999</v>
      </c>
      <c r="I18" s="78"/>
      <c r="J18" s="662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</row>
    <row r="19" spans="1:106" s="15" customFormat="1" ht="54" hidden="1" customHeight="1">
      <c r="A19" s="755"/>
      <c r="B19" s="766"/>
      <c r="C19" s="764" t="s">
        <v>978</v>
      </c>
      <c r="D19" s="764"/>
      <c r="E19" s="764"/>
      <c r="F19" s="764"/>
      <c r="G19" s="758" t="s">
        <v>178</v>
      </c>
      <c r="H19" s="767" t="s">
        <v>34</v>
      </c>
      <c r="I19" s="632"/>
      <c r="J19" s="66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18" hidden="1" customHeight="1">
      <c r="A20" s="755"/>
      <c r="B20" s="766"/>
      <c r="C20" s="672" t="s">
        <v>714</v>
      </c>
      <c r="D20" s="67" t="e">
        <f>#REF!</f>
        <v>#REF!</v>
      </c>
      <c r="E20" s="109" t="str">
        <f>G19</f>
        <v>m3</v>
      </c>
      <c r="F20" s="67" t="s">
        <v>716</v>
      </c>
      <c r="G20" s="758"/>
      <c r="H20" s="767"/>
      <c r="I20" s="632"/>
      <c r="J20" s="66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3" customFormat="1" ht="31.5" customHeight="1">
      <c r="A21" s="21"/>
      <c r="B21" s="448" t="s">
        <v>57</v>
      </c>
      <c r="C21" s="737" t="s">
        <v>181</v>
      </c>
      <c r="D21" s="737"/>
      <c r="E21" s="737"/>
      <c r="F21" s="737"/>
      <c r="G21" s="737"/>
      <c r="H21" s="737"/>
      <c r="I21" s="737"/>
      <c r="J21" s="737"/>
    </row>
    <row r="22" spans="1:106" s="1" customFormat="1" ht="18" customHeight="1">
      <c r="A22" s="64" t="s">
        <v>34</v>
      </c>
      <c r="B22" s="571" t="s">
        <v>98</v>
      </c>
      <c r="C22" s="736" t="s">
        <v>99</v>
      </c>
      <c r="D22" s="736"/>
      <c r="E22" s="736"/>
      <c r="F22" s="736"/>
      <c r="G22" s="736"/>
      <c r="H22" s="736"/>
      <c r="I22" s="736"/>
      <c r="J22" s="736"/>
    </row>
    <row r="23" spans="1:106" s="1" customFormat="1" ht="34.5" customHeight="1">
      <c r="A23" s="86">
        <v>4</v>
      </c>
      <c r="B23" s="431" t="s">
        <v>970</v>
      </c>
      <c r="C23" s="778" t="s">
        <v>1056</v>
      </c>
      <c r="D23" s="778"/>
      <c r="E23" s="778"/>
      <c r="F23" s="778"/>
      <c r="G23" s="86" t="s">
        <v>176</v>
      </c>
      <c r="H23" s="87">
        <f>M5*1</f>
        <v>189</v>
      </c>
      <c r="I23" s="566"/>
      <c r="J23" s="662"/>
    </row>
    <row r="24" spans="1:106" s="1" customFormat="1" ht="33" customHeight="1">
      <c r="A24" s="64" t="s">
        <v>34</v>
      </c>
      <c r="B24" s="571" t="s">
        <v>114</v>
      </c>
      <c r="C24" s="736" t="s">
        <v>1024</v>
      </c>
      <c r="D24" s="736"/>
      <c r="E24" s="736"/>
      <c r="F24" s="736"/>
      <c r="G24" s="736"/>
      <c r="H24" s="736"/>
      <c r="I24" s="736"/>
      <c r="J24" s="736"/>
    </row>
    <row r="25" spans="1:106" s="1" customFormat="1" ht="33" customHeight="1">
      <c r="A25" s="86">
        <v>5</v>
      </c>
      <c r="B25" s="564" t="s">
        <v>162</v>
      </c>
      <c r="C25" s="778" t="s">
        <v>1023</v>
      </c>
      <c r="D25" s="778"/>
      <c r="E25" s="778"/>
      <c r="F25" s="778"/>
      <c r="G25" s="86" t="s">
        <v>176</v>
      </c>
      <c r="H25" s="87">
        <f>H23</f>
        <v>189</v>
      </c>
      <c r="I25" s="566"/>
      <c r="J25" s="662"/>
    </row>
    <row r="26" spans="1:106" s="8" customFormat="1" ht="18" customHeight="1">
      <c r="A26" s="64" t="s">
        <v>34</v>
      </c>
      <c r="B26" s="571" t="s">
        <v>972</v>
      </c>
      <c r="C26" s="736" t="s">
        <v>20</v>
      </c>
      <c r="D26" s="736"/>
      <c r="E26" s="736"/>
      <c r="F26" s="736"/>
      <c r="G26" s="736"/>
      <c r="H26" s="736"/>
      <c r="I26" s="736"/>
      <c r="J26" s="736"/>
    </row>
    <row r="27" spans="1:106" s="8" customFormat="1" ht="47.25" customHeight="1">
      <c r="A27" s="86">
        <v>6</v>
      </c>
      <c r="B27" s="623" t="s">
        <v>1028</v>
      </c>
      <c r="C27" s="769" t="s">
        <v>1027</v>
      </c>
      <c r="D27" s="769"/>
      <c r="E27" s="769"/>
      <c r="F27" s="769"/>
      <c r="G27" s="86" t="s">
        <v>176</v>
      </c>
      <c r="H27" s="87">
        <f>M5*3.7</f>
        <v>699.3</v>
      </c>
      <c r="I27" s="566"/>
      <c r="J27" s="662"/>
    </row>
    <row r="28" spans="1:106" s="8" customFormat="1" ht="39" customHeight="1">
      <c r="A28" s="86">
        <v>7</v>
      </c>
      <c r="B28" s="623" t="s">
        <v>984</v>
      </c>
      <c r="C28" s="769" t="s">
        <v>485</v>
      </c>
      <c r="D28" s="769"/>
      <c r="E28" s="769"/>
      <c r="F28" s="769"/>
      <c r="G28" s="86" t="s">
        <v>176</v>
      </c>
      <c r="H28" s="87">
        <f>H25</f>
        <v>189</v>
      </c>
      <c r="I28" s="566"/>
      <c r="J28" s="662"/>
    </row>
    <row r="29" spans="1:106" s="8" customFormat="1" ht="33" customHeight="1">
      <c r="A29" s="524"/>
      <c r="B29" s="524" t="s">
        <v>59</v>
      </c>
      <c r="C29" s="770" t="s">
        <v>182</v>
      </c>
      <c r="D29" s="770"/>
      <c r="E29" s="770"/>
      <c r="F29" s="770"/>
      <c r="G29" s="770"/>
      <c r="H29" s="770"/>
      <c r="I29" s="770"/>
      <c r="J29" s="770"/>
      <c r="L29" s="8" t="s">
        <v>1081</v>
      </c>
    </row>
    <row r="30" spans="1:106" s="16" customFormat="1" ht="25.5" hidden="1" customHeight="1">
      <c r="A30" s="64" t="s">
        <v>34</v>
      </c>
      <c r="B30" s="276" t="s">
        <v>116</v>
      </c>
      <c r="C30" s="741" t="s">
        <v>776</v>
      </c>
      <c r="D30" s="741"/>
      <c r="E30" s="741"/>
      <c r="F30" s="741"/>
      <c r="G30" s="741" t="s">
        <v>8</v>
      </c>
      <c r="H30" s="741"/>
      <c r="I30" s="673"/>
      <c r="J30" s="66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</row>
    <row r="31" spans="1:106" s="204" customFormat="1" ht="29.25" hidden="1" customHeight="1">
      <c r="A31" s="86">
        <v>27</v>
      </c>
      <c r="B31" s="650" t="s">
        <v>116</v>
      </c>
      <c r="C31" s="771" t="s">
        <v>820</v>
      </c>
      <c r="D31" s="771"/>
      <c r="E31" s="771"/>
      <c r="F31" s="771"/>
      <c r="G31" s="289" t="s">
        <v>919</v>
      </c>
      <c r="H31" s="671" t="e">
        <f>SUM(#REF!)</f>
        <v>#REF!</v>
      </c>
      <c r="I31" s="674"/>
      <c r="J31" s="66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</row>
    <row r="32" spans="1:106" s="204" customFormat="1" ht="29.25" hidden="1" customHeight="1">
      <c r="A32" s="772"/>
      <c r="B32" s="773"/>
      <c r="C32" s="774" t="s">
        <v>778</v>
      </c>
      <c r="D32" s="774"/>
      <c r="E32" s="774"/>
      <c r="F32" s="774"/>
      <c r="G32" s="775" t="s">
        <v>920</v>
      </c>
      <c r="H32" s="776" t="s">
        <v>34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0.25" hidden="1" customHeight="1">
      <c r="A33" s="772"/>
      <c r="B33" s="773"/>
      <c r="C33" s="645" t="s">
        <v>713</v>
      </c>
      <c r="D33" s="652" t="e">
        <f>#REF!</f>
        <v>#REF!</v>
      </c>
      <c r="E33" s="290" t="str">
        <f>G32</f>
        <v>m2</v>
      </c>
      <c r="F33" s="652" t="s">
        <v>716</v>
      </c>
      <c r="G33" s="775"/>
      <c r="H33" s="776"/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276" t="s">
        <v>34</v>
      </c>
      <c r="B34" s="276" t="s">
        <v>845</v>
      </c>
      <c r="C34" s="741" t="s">
        <v>847</v>
      </c>
      <c r="D34" s="741" t="s">
        <v>8</v>
      </c>
      <c r="E34" s="741"/>
      <c r="F34" s="741"/>
      <c r="G34" s="655" t="s">
        <v>8</v>
      </c>
      <c r="H34" s="655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36" hidden="1" customHeight="1">
      <c r="A35" s="593">
        <v>44</v>
      </c>
      <c r="B35" s="656" t="s">
        <v>846</v>
      </c>
      <c r="C35" s="771" t="s">
        <v>915</v>
      </c>
      <c r="D35" s="771"/>
      <c r="E35" s="771"/>
      <c r="F35" s="771"/>
      <c r="G35" s="289" t="s">
        <v>919</v>
      </c>
      <c r="H35" s="671" t="e">
        <f>SUM(#REF!)</f>
        <v>#REF!</v>
      </c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45.75" hidden="1" customHeight="1">
      <c r="A36" s="775"/>
      <c r="B36" s="773"/>
      <c r="C36" s="774" t="s">
        <v>940</v>
      </c>
      <c r="D36" s="774"/>
      <c r="E36" s="774"/>
      <c r="F36" s="774"/>
      <c r="G36" s="775" t="s">
        <v>920</v>
      </c>
      <c r="H36" s="776" t="s">
        <v>34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24.75" hidden="1" customHeight="1">
      <c r="A37" s="775"/>
      <c r="B37" s="773"/>
      <c r="C37" s="645" t="s">
        <v>713</v>
      </c>
      <c r="D37" s="652" t="e">
        <f>#REF!</f>
        <v>#REF!</v>
      </c>
      <c r="E37" s="290" t="str">
        <f>G36</f>
        <v>m2</v>
      </c>
      <c r="F37" s="652" t="s">
        <v>811</v>
      </c>
      <c r="G37" s="775"/>
      <c r="H37" s="776"/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34.5" hidden="1" customHeight="1">
      <c r="A38" s="64" t="s">
        <v>34</v>
      </c>
      <c r="B38" s="276" t="s">
        <v>848</v>
      </c>
      <c r="C38" s="741" t="s">
        <v>849</v>
      </c>
      <c r="D38" s="741" t="s">
        <v>8</v>
      </c>
      <c r="E38" s="741"/>
      <c r="F38" s="741"/>
      <c r="G38" s="655" t="s">
        <v>8</v>
      </c>
      <c r="H38" s="655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20.25" hidden="1" customHeight="1">
      <c r="A39" s="458">
        <v>29</v>
      </c>
      <c r="B39" s="656" t="s">
        <v>846</v>
      </c>
      <c r="C39" s="771" t="s">
        <v>844</v>
      </c>
      <c r="D39" s="771"/>
      <c r="E39" s="771"/>
      <c r="F39" s="771"/>
      <c r="G39" s="289" t="s">
        <v>919</v>
      </c>
      <c r="H39" s="671" t="e">
        <f>SUM(#REF!)</f>
        <v>#REF!</v>
      </c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47.25" hidden="1" customHeight="1">
      <c r="A40" s="772"/>
      <c r="B40" s="773"/>
      <c r="C40" s="774" t="s">
        <v>843</v>
      </c>
      <c r="D40" s="774"/>
      <c r="E40" s="774"/>
      <c r="F40" s="774"/>
      <c r="G40" s="775" t="s">
        <v>920</v>
      </c>
      <c r="H40" s="776" t="s">
        <v>34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20.25" hidden="1" customHeight="1">
      <c r="A41" s="772"/>
      <c r="B41" s="773"/>
      <c r="C41" s="645" t="s">
        <v>713</v>
      </c>
      <c r="D41" s="652" t="e">
        <f>#REF!</f>
        <v>#REF!</v>
      </c>
      <c r="E41" s="290" t="str">
        <f>G40</f>
        <v>m2</v>
      </c>
      <c r="F41" s="652" t="s">
        <v>811</v>
      </c>
      <c r="G41" s="775"/>
      <c r="H41" s="776"/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458">
        <v>30</v>
      </c>
      <c r="B42" s="656" t="s">
        <v>851</v>
      </c>
      <c r="C42" s="771" t="s">
        <v>852</v>
      </c>
      <c r="D42" s="771"/>
      <c r="E42" s="771"/>
      <c r="F42" s="771"/>
      <c r="G42" s="289" t="s">
        <v>919</v>
      </c>
      <c r="H42" s="671" t="e">
        <f>SUM(#REF!)</f>
        <v>#REF!</v>
      </c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45.75" hidden="1" customHeight="1">
      <c r="A43" s="772"/>
      <c r="B43" s="773"/>
      <c r="C43" s="774" t="s">
        <v>853</v>
      </c>
      <c r="D43" s="774"/>
      <c r="E43" s="774"/>
      <c r="F43" s="774"/>
      <c r="G43" s="775" t="s">
        <v>920</v>
      </c>
      <c r="H43" s="776" t="s">
        <v>34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20.25" hidden="1" customHeight="1">
      <c r="A44" s="772"/>
      <c r="B44" s="773"/>
      <c r="C44" s="645" t="s">
        <v>713</v>
      </c>
      <c r="D44" s="652" t="e">
        <f>#REF!</f>
        <v>#REF!</v>
      </c>
      <c r="E44" s="290" t="str">
        <f>G43</f>
        <v>m2</v>
      </c>
      <c r="F44" s="652" t="s">
        <v>811</v>
      </c>
      <c r="G44" s="775"/>
      <c r="H44" s="776"/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customHeight="1">
      <c r="A45" s="571"/>
      <c r="B45" s="64" t="s">
        <v>116</v>
      </c>
      <c r="C45" s="736" t="s">
        <v>776</v>
      </c>
      <c r="D45" s="736"/>
      <c r="E45" s="736"/>
      <c r="F45" s="736"/>
      <c r="G45" s="736"/>
      <c r="H45" s="736"/>
      <c r="I45" s="736"/>
      <c r="J45" s="736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36.75" customHeight="1">
      <c r="A46" s="679" t="s">
        <v>1022</v>
      </c>
      <c r="B46" s="564" t="s">
        <v>213</v>
      </c>
      <c r="C46" s="769" t="s">
        <v>1021</v>
      </c>
      <c r="D46" s="769"/>
      <c r="E46" s="769"/>
      <c r="F46" s="769"/>
      <c r="G46" s="458" t="s">
        <v>176</v>
      </c>
      <c r="H46" s="566">
        <v>20</v>
      </c>
      <c r="I46" s="566"/>
      <c r="J46" s="662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22.5" customHeight="1">
      <c r="A47" s="64" t="s">
        <v>34</v>
      </c>
      <c r="B47" s="64" t="s">
        <v>21</v>
      </c>
      <c r="C47" s="736" t="s">
        <v>1078</v>
      </c>
      <c r="D47" s="736"/>
      <c r="E47" s="736"/>
      <c r="F47" s="736"/>
      <c r="G47" s="736"/>
      <c r="H47" s="736"/>
      <c r="I47" s="736"/>
      <c r="J47" s="736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8" s="204" customFormat="1" ht="30.75" hidden="1" customHeight="1">
      <c r="A48" s="289">
        <v>45</v>
      </c>
      <c r="B48" s="656" t="s">
        <v>816</v>
      </c>
      <c r="C48" s="771" t="s">
        <v>935</v>
      </c>
      <c r="D48" s="771"/>
      <c r="E48" s="771"/>
      <c r="F48" s="771"/>
      <c r="G48" s="289" t="s">
        <v>924</v>
      </c>
      <c r="H48" s="671" t="e">
        <f>SUM(#REF!)</f>
        <v>#REF!</v>
      </c>
      <c r="I48" s="674"/>
      <c r="J48" s="665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6.75" hidden="1" customHeight="1">
      <c r="A49" s="775"/>
      <c r="B49" s="777"/>
      <c r="C49" s="774" t="s">
        <v>936</v>
      </c>
      <c r="D49" s="774"/>
      <c r="E49" s="774"/>
      <c r="F49" s="774"/>
      <c r="G49" s="775" t="s">
        <v>924</v>
      </c>
      <c r="H49" s="776" t="s">
        <v>34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0" hidden="1" customHeight="1">
      <c r="A50" s="775"/>
      <c r="B50" s="777"/>
      <c r="C50" s="645" t="s">
        <v>713</v>
      </c>
      <c r="D50" s="652" t="e">
        <f>#REF!</f>
        <v>#REF!</v>
      </c>
      <c r="E50" s="290" t="s">
        <v>924</v>
      </c>
      <c r="F50" s="652" t="s">
        <v>716</v>
      </c>
      <c r="G50" s="775"/>
      <c r="H50" s="776"/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43.5" customHeight="1">
      <c r="A51" s="86">
        <v>9</v>
      </c>
      <c r="B51" s="564" t="s">
        <v>1008</v>
      </c>
      <c r="C51" s="778" t="s">
        <v>1079</v>
      </c>
      <c r="D51" s="778"/>
      <c r="E51" s="778"/>
      <c r="F51" s="778"/>
      <c r="G51" s="86" t="s">
        <v>176</v>
      </c>
      <c r="H51" s="77">
        <f>M5*3*1.05</f>
        <v>595.35</v>
      </c>
      <c r="I51" s="77"/>
      <c r="J51" s="662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41" customFormat="1" ht="35.25" customHeight="1">
      <c r="A52" s="21"/>
      <c r="B52" s="448" t="s">
        <v>60</v>
      </c>
      <c r="C52" s="737" t="s">
        <v>183</v>
      </c>
      <c r="D52" s="737"/>
      <c r="E52" s="737"/>
      <c r="F52" s="737"/>
      <c r="G52" s="737"/>
      <c r="H52" s="737"/>
      <c r="I52" s="737"/>
      <c r="J52" s="73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</row>
    <row r="53" spans="1:68" s="8" customFormat="1" ht="19.5" customHeight="1">
      <c r="A53" s="64" t="s">
        <v>34</v>
      </c>
      <c r="B53" s="571" t="s">
        <v>23</v>
      </c>
      <c r="C53" s="736" t="s">
        <v>167</v>
      </c>
      <c r="D53" s="736"/>
      <c r="E53" s="736"/>
      <c r="F53" s="736"/>
      <c r="G53" s="736" t="s">
        <v>8</v>
      </c>
      <c r="H53" s="736"/>
      <c r="I53" s="736"/>
      <c r="J53" s="736"/>
    </row>
    <row r="54" spans="1:68" s="11" customFormat="1" ht="28.5" customHeight="1">
      <c r="A54" s="86">
        <v>10</v>
      </c>
      <c r="B54" s="432" t="s">
        <v>0</v>
      </c>
      <c r="C54" s="778" t="s">
        <v>74</v>
      </c>
      <c r="D54" s="778"/>
      <c r="E54" s="778"/>
      <c r="F54" s="778"/>
      <c r="G54" s="86" t="s">
        <v>176</v>
      </c>
      <c r="H54" s="87">
        <f>H9/2</f>
        <v>94.5</v>
      </c>
      <c r="I54" s="566"/>
      <c r="J54" s="662"/>
    </row>
    <row r="55" spans="1:68" s="8" customFormat="1" ht="38.25" hidden="1" customHeight="1">
      <c r="A55" s="779"/>
      <c r="B55" s="780"/>
      <c r="C55" s="781" t="s">
        <v>983</v>
      </c>
      <c r="D55" s="781"/>
      <c r="E55" s="781"/>
      <c r="F55" s="781"/>
      <c r="G55" s="772" t="s">
        <v>177</v>
      </c>
      <c r="H55" s="782" t="s">
        <v>34</v>
      </c>
      <c r="I55" s="106"/>
      <c r="J55" s="662" t="e">
        <f t="shared" ref="J55:J56" si="0">H55*I55</f>
        <v>#VALUE!</v>
      </c>
    </row>
    <row r="56" spans="1:68" s="8" customFormat="1" ht="16.5" hidden="1" customHeight="1">
      <c r="A56" s="779"/>
      <c r="B56" s="780"/>
      <c r="C56" s="672" t="s">
        <v>713</v>
      </c>
      <c r="D56" s="67" t="e">
        <f>#REF!</f>
        <v>#REF!</v>
      </c>
      <c r="E56" s="109" t="str">
        <f>G55</f>
        <v>m2</v>
      </c>
      <c r="F56" s="67" t="s">
        <v>715</v>
      </c>
      <c r="G56" s="772"/>
      <c r="H56" s="782"/>
      <c r="I56" s="106"/>
      <c r="J56" s="662">
        <f t="shared" si="0"/>
        <v>0</v>
      </c>
    </row>
    <row r="57" spans="1:68" s="8" customFormat="1" ht="19.5" customHeight="1">
      <c r="A57" s="64" t="s">
        <v>34</v>
      </c>
      <c r="B57" s="450" t="s">
        <v>976</v>
      </c>
      <c r="C57" s="736" t="s">
        <v>975</v>
      </c>
      <c r="D57" s="736"/>
      <c r="E57" s="736"/>
      <c r="F57" s="736"/>
      <c r="G57" s="736" t="s">
        <v>8</v>
      </c>
      <c r="H57" s="736"/>
      <c r="I57" s="736"/>
      <c r="J57" s="736"/>
    </row>
    <row r="58" spans="1:68" s="11" customFormat="1" ht="29.25" customHeight="1">
      <c r="A58" s="86">
        <v>11</v>
      </c>
      <c r="B58" s="432" t="s">
        <v>977</v>
      </c>
      <c r="C58" s="778" t="s">
        <v>1013</v>
      </c>
      <c r="D58" s="778"/>
      <c r="E58" s="778"/>
      <c r="F58" s="778"/>
      <c r="G58" s="86" t="s">
        <v>176</v>
      </c>
      <c r="H58" s="87">
        <f>M5*2*0.5</f>
        <v>189</v>
      </c>
      <c r="I58" s="77"/>
      <c r="J58" s="662"/>
    </row>
    <row r="59" spans="1:68" ht="21" customHeight="1">
      <c r="A59" s="783" t="s">
        <v>1014</v>
      </c>
      <c r="B59" s="783"/>
      <c r="C59" s="783"/>
      <c r="D59" s="783"/>
      <c r="E59" s="783"/>
      <c r="F59" s="783"/>
      <c r="G59" s="783"/>
      <c r="H59" s="783"/>
      <c r="I59" s="783"/>
      <c r="J59" s="592"/>
    </row>
    <row r="60" spans="1:68" ht="21" customHeight="1">
      <c r="A60" s="783" t="s">
        <v>76</v>
      </c>
      <c r="B60" s="783"/>
      <c r="C60" s="783"/>
      <c r="D60" s="783"/>
      <c r="E60" s="783"/>
      <c r="F60" s="783"/>
      <c r="G60" s="783"/>
      <c r="H60" s="783"/>
      <c r="I60" s="783"/>
      <c r="J60" s="592"/>
    </row>
    <row r="61" spans="1:68" ht="21" customHeight="1">
      <c r="A61" s="783" t="s">
        <v>90</v>
      </c>
      <c r="B61" s="783"/>
      <c r="C61" s="783"/>
      <c r="D61" s="783"/>
      <c r="E61" s="783"/>
      <c r="F61" s="783"/>
      <c r="G61" s="783"/>
      <c r="H61" s="783"/>
      <c r="I61" s="783"/>
      <c r="J61" s="592"/>
    </row>
    <row r="62" spans="1:68" ht="21" customHeight="1">
      <c r="A62" s="553"/>
      <c r="B62" s="553"/>
      <c r="C62" s="554"/>
      <c r="D62" s="556"/>
      <c r="E62" s="555"/>
      <c r="F62" s="555"/>
      <c r="G62" s="500"/>
      <c r="H62" s="547"/>
    </row>
    <row r="63" spans="1:68" ht="12.75" customHeight="1">
      <c r="B63" s="494"/>
      <c r="C63" s="507"/>
      <c r="D63" s="504"/>
      <c r="E63" s="494"/>
      <c r="F63" s="526"/>
      <c r="G63" s="526"/>
    </row>
    <row r="64" spans="1:68" ht="12.75" customHeight="1">
      <c r="B64" s="494"/>
      <c r="C64" s="507"/>
      <c r="D64" s="504"/>
      <c r="E64" s="494"/>
      <c r="F64" s="526"/>
      <c r="G64" s="526"/>
    </row>
    <row r="65" spans="1:106" s="18" customFormat="1" ht="12.75" customHeight="1">
      <c r="A65" s="17"/>
      <c r="B65" s="494"/>
      <c r="C65" s="507"/>
      <c r="D65" s="504"/>
      <c r="E65" s="494"/>
      <c r="F65" s="526"/>
      <c r="G65" s="526"/>
      <c r="I65" s="40"/>
      <c r="J65" s="488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</row>
    <row r="66" spans="1:106" s="18" customFormat="1" ht="12.75" customHeight="1">
      <c r="A66" s="17"/>
      <c r="B66" s="494"/>
      <c r="C66" s="507"/>
      <c r="D66" s="504"/>
      <c r="E66" s="494"/>
      <c r="F66" s="526"/>
      <c r="G66" s="526"/>
      <c r="I66" s="40"/>
      <c r="J66" s="488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</row>
  </sheetData>
  <mergeCells count="92">
    <mergeCell ref="C57:J57"/>
    <mergeCell ref="C58:F58"/>
    <mergeCell ref="A59:I59"/>
    <mergeCell ref="A60:I60"/>
    <mergeCell ref="A61:I61"/>
    <mergeCell ref="C51:F51"/>
    <mergeCell ref="C52:J52"/>
    <mergeCell ref="C53:J53"/>
    <mergeCell ref="C54:F54"/>
    <mergeCell ref="A55:A56"/>
    <mergeCell ref="B55:B56"/>
    <mergeCell ref="C55:F55"/>
    <mergeCell ref="G55:G56"/>
    <mergeCell ref="H55:H56"/>
    <mergeCell ref="C45:J45"/>
    <mergeCell ref="C46:F46"/>
    <mergeCell ref="C47:J47"/>
    <mergeCell ref="C48:F48"/>
    <mergeCell ref="A49:A50"/>
    <mergeCell ref="B49:B50"/>
    <mergeCell ref="C49:F49"/>
    <mergeCell ref="G49:G50"/>
    <mergeCell ref="H49:H50"/>
    <mergeCell ref="H43:H44"/>
    <mergeCell ref="H36:H37"/>
    <mergeCell ref="C38:F38"/>
    <mergeCell ref="C39:F39"/>
    <mergeCell ref="A40:A41"/>
    <mergeCell ref="B40:B41"/>
    <mergeCell ref="C40:F40"/>
    <mergeCell ref="G40:G41"/>
    <mergeCell ref="H40:H41"/>
    <mergeCell ref="G36:G37"/>
    <mergeCell ref="C42:F42"/>
    <mergeCell ref="A43:A44"/>
    <mergeCell ref="B43:B44"/>
    <mergeCell ref="C43:F43"/>
    <mergeCell ref="G43:G44"/>
    <mergeCell ref="C34:F34"/>
    <mergeCell ref="C35:F35"/>
    <mergeCell ref="A36:A37"/>
    <mergeCell ref="B36:B37"/>
    <mergeCell ref="C36:F36"/>
    <mergeCell ref="C28:F28"/>
    <mergeCell ref="C29:J29"/>
    <mergeCell ref="C30:H30"/>
    <mergeCell ref="C31:F31"/>
    <mergeCell ref="A32:A33"/>
    <mergeCell ref="B32:B33"/>
    <mergeCell ref="C32:F32"/>
    <mergeCell ref="G32:G33"/>
    <mergeCell ref="H32:H33"/>
    <mergeCell ref="C27:F27"/>
    <mergeCell ref="A19:A20"/>
    <mergeCell ref="B19:B20"/>
    <mergeCell ref="C19:F19"/>
    <mergeCell ref="G19:G20"/>
    <mergeCell ref="C22:J22"/>
    <mergeCell ref="C23:F23"/>
    <mergeCell ref="C24:J24"/>
    <mergeCell ref="C25:F25"/>
    <mergeCell ref="C26:J26"/>
    <mergeCell ref="H19:H20"/>
    <mergeCell ref="C21:J21"/>
    <mergeCell ref="M13:P13"/>
    <mergeCell ref="C15:F15"/>
    <mergeCell ref="C16:J16"/>
    <mergeCell ref="C17:J17"/>
    <mergeCell ref="C18:F18"/>
    <mergeCell ref="C12:J12"/>
    <mergeCell ref="A13:A14"/>
    <mergeCell ref="B13:B14"/>
    <mergeCell ref="C13:F13"/>
    <mergeCell ref="G13:G14"/>
    <mergeCell ref="H13:H14"/>
    <mergeCell ref="C8:J8"/>
    <mergeCell ref="C9:F9"/>
    <mergeCell ref="A10:A11"/>
    <mergeCell ref="B10:B11"/>
    <mergeCell ref="C10:F10"/>
    <mergeCell ref="G10:G11"/>
    <mergeCell ref="H10:H11"/>
    <mergeCell ref="A1:J1"/>
    <mergeCell ref="A2:J2"/>
    <mergeCell ref="C3:F3"/>
    <mergeCell ref="B4:J4"/>
    <mergeCell ref="C5:J5"/>
    <mergeCell ref="A6:A7"/>
    <mergeCell ref="B6:B7"/>
    <mergeCell ref="C6:F6"/>
    <mergeCell ref="G6:G7"/>
    <mergeCell ref="H6:H7"/>
  </mergeCells>
  <printOptions gridLines="1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72"/>
  <sheetViews>
    <sheetView view="pageBreakPreview" zoomScaleNormal="100" zoomScaleSheetLayoutView="100" workbookViewId="0">
      <selection activeCell="A2" sqref="A2:J2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44" t="s">
        <v>1084</v>
      </c>
      <c r="B1" s="744"/>
      <c r="C1" s="744"/>
      <c r="D1" s="744"/>
      <c r="E1" s="744"/>
      <c r="F1" s="744"/>
      <c r="G1" s="744"/>
      <c r="H1" s="744"/>
      <c r="I1" s="744"/>
      <c r="J1" s="744"/>
    </row>
    <row r="2" spans="1:18" s="4" customFormat="1" ht="39" customHeight="1">
      <c r="A2" s="760" t="s">
        <v>1058</v>
      </c>
      <c r="B2" s="760"/>
      <c r="C2" s="760"/>
      <c r="D2" s="760"/>
      <c r="E2" s="760"/>
      <c r="F2" s="760"/>
      <c r="G2" s="760"/>
      <c r="H2" s="760"/>
      <c r="I2" s="760"/>
      <c r="J2" s="760"/>
    </row>
    <row r="3" spans="1:18" ht="45" customHeight="1">
      <c r="A3" s="74" t="s">
        <v>3</v>
      </c>
      <c r="B3" s="449" t="s">
        <v>199</v>
      </c>
      <c r="C3" s="755" t="s">
        <v>4</v>
      </c>
      <c r="D3" s="755"/>
      <c r="E3" s="755"/>
      <c r="F3" s="755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61" t="s">
        <v>1006</v>
      </c>
      <c r="C4" s="761"/>
      <c r="D4" s="761"/>
      <c r="E4" s="761"/>
      <c r="F4" s="761"/>
      <c r="G4" s="761"/>
      <c r="H4" s="761"/>
      <c r="I4" s="761"/>
      <c r="J4" s="761"/>
      <c r="M4" s="40" t="s">
        <v>1032</v>
      </c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  <c r="M5" s="1">
        <v>400</v>
      </c>
    </row>
    <row r="6" spans="1:18" ht="44.25" hidden="1" customHeight="1">
      <c r="A6" s="755"/>
      <c r="B6" s="756"/>
      <c r="C6" s="757" t="s">
        <v>733</v>
      </c>
      <c r="D6" s="757"/>
      <c r="E6" s="757"/>
      <c r="F6" s="757"/>
      <c r="G6" s="758" t="s">
        <v>177</v>
      </c>
      <c r="H6" s="759" t="s">
        <v>34</v>
      </c>
      <c r="I6" s="377"/>
      <c r="J6" s="521"/>
    </row>
    <row r="7" spans="1:18" ht="21.75" hidden="1" customHeight="1">
      <c r="A7" s="755"/>
      <c r="B7" s="756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58"/>
      <c r="H7" s="759"/>
      <c r="I7" s="377"/>
      <c r="J7" s="521"/>
    </row>
    <row r="8" spans="1:18" ht="18" customHeight="1">
      <c r="A8" s="64" t="s">
        <v>34</v>
      </c>
      <c r="B8" s="571" t="s">
        <v>14</v>
      </c>
      <c r="C8" s="736" t="s">
        <v>108</v>
      </c>
      <c r="D8" s="736"/>
      <c r="E8" s="736"/>
      <c r="F8" s="736"/>
      <c r="G8" s="736"/>
      <c r="H8" s="736"/>
      <c r="I8" s="736"/>
      <c r="J8" s="736"/>
    </row>
    <row r="9" spans="1:18" s="14" customFormat="1" ht="31.5" customHeight="1">
      <c r="A9" s="74">
        <v>1</v>
      </c>
      <c r="B9" s="449" t="s">
        <v>952</v>
      </c>
      <c r="C9" s="762" t="s">
        <v>1018</v>
      </c>
      <c r="D9" s="762"/>
      <c r="E9" s="762"/>
      <c r="F9" s="762"/>
      <c r="G9" s="74" t="s">
        <v>176</v>
      </c>
      <c r="H9" s="78">
        <f>M5*1</f>
        <v>400</v>
      </c>
      <c r="I9" s="78"/>
      <c r="J9" s="662"/>
    </row>
    <row r="10" spans="1:18" ht="54" hidden="1" customHeight="1">
      <c r="A10" s="755"/>
      <c r="B10" s="763"/>
      <c r="C10" s="764" t="s">
        <v>969</v>
      </c>
      <c r="D10" s="764"/>
      <c r="E10" s="764"/>
      <c r="F10" s="764"/>
      <c r="G10" s="758" t="s">
        <v>177</v>
      </c>
      <c r="H10" s="765" t="s">
        <v>34</v>
      </c>
      <c r="I10" s="377"/>
      <c r="J10" s="521"/>
    </row>
    <row r="11" spans="1:18" ht="21" hidden="1" customHeight="1">
      <c r="A11" s="755"/>
      <c r="B11" s="763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58"/>
      <c r="H11" s="765"/>
      <c r="I11" s="377"/>
      <c r="J11" s="521"/>
    </row>
    <row r="12" spans="1:18" ht="17.25" customHeight="1">
      <c r="A12" s="64" t="s">
        <v>34</v>
      </c>
      <c r="B12" s="571" t="s">
        <v>15</v>
      </c>
      <c r="C12" s="736" t="s">
        <v>10</v>
      </c>
      <c r="D12" s="736"/>
      <c r="E12" s="736"/>
      <c r="F12" s="736"/>
      <c r="G12" s="736"/>
      <c r="H12" s="736"/>
      <c r="I12" s="736"/>
      <c r="J12" s="736"/>
      <c r="R12" s="40">
        <v>13</v>
      </c>
    </row>
    <row r="13" spans="1:18" ht="25.5" hidden="1" customHeight="1">
      <c r="A13" s="786"/>
      <c r="B13" s="787"/>
      <c r="C13" s="788" t="s">
        <v>974</v>
      </c>
      <c r="D13" s="788"/>
      <c r="E13" s="788"/>
      <c r="F13" s="788"/>
      <c r="G13" s="789" t="s">
        <v>920</v>
      </c>
      <c r="H13" s="790" t="s">
        <v>34</v>
      </c>
      <c r="I13" s="377"/>
      <c r="J13" s="521"/>
      <c r="M13" s="784"/>
      <c r="N13" s="784"/>
      <c r="O13" s="784"/>
      <c r="P13" s="784"/>
    </row>
    <row r="14" spans="1:18" ht="20.25" hidden="1" customHeight="1">
      <c r="A14" s="786"/>
      <c r="B14" s="787"/>
      <c r="C14" s="645" t="s">
        <v>713</v>
      </c>
      <c r="D14" s="652" t="e">
        <f>#REF!</f>
        <v>#REF!</v>
      </c>
      <c r="E14" s="290" t="s">
        <v>708</v>
      </c>
      <c r="F14" s="652" t="s">
        <v>718</v>
      </c>
      <c r="G14" s="789"/>
      <c r="H14" s="790"/>
      <c r="I14" s="377"/>
      <c r="J14" s="521"/>
    </row>
    <row r="15" spans="1:18" ht="43.5" customHeight="1">
      <c r="A15" s="642">
        <v>2</v>
      </c>
      <c r="B15" s="641" t="s">
        <v>735</v>
      </c>
      <c r="C15" s="785" t="s">
        <v>1063</v>
      </c>
      <c r="D15" s="785"/>
      <c r="E15" s="785"/>
      <c r="F15" s="785"/>
      <c r="G15" s="74" t="s">
        <v>176</v>
      </c>
      <c r="H15" s="78">
        <v>48</v>
      </c>
      <c r="I15" s="78"/>
      <c r="J15" s="662"/>
    </row>
    <row r="16" spans="1:18" ht="36.75" customHeight="1">
      <c r="A16" s="74">
        <v>3</v>
      </c>
      <c r="B16" s="641" t="s">
        <v>31</v>
      </c>
      <c r="C16" s="791" t="s">
        <v>1019</v>
      </c>
      <c r="D16" s="792"/>
      <c r="E16" s="792"/>
      <c r="F16" s="793"/>
      <c r="G16" s="74" t="s">
        <v>176</v>
      </c>
      <c r="H16" s="78">
        <f>50*2.5</f>
        <v>125</v>
      </c>
      <c r="I16" s="78"/>
      <c r="J16" s="662"/>
    </row>
    <row r="17" spans="1:106" ht="32.25" customHeight="1">
      <c r="A17" s="21"/>
      <c r="B17" s="448" t="s">
        <v>111</v>
      </c>
      <c r="C17" s="737" t="s">
        <v>189</v>
      </c>
      <c r="D17" s="737"/>
      <c r="E17" s="737"/>
      <c r="F17" s="737"/>
      <c r="G17" s="737"/>
      <c r="H17" s="737"/>
      <c r="I17" s="737"/>
      <c r="J17" s="737"/>
    </row>
    <row r="18" spans="1:106" s="15" customFormat="1" ht="21" customHeight="1">
      <c r="A18" s="64" t="s">
        <v>34</v>
      </c>
      <c r="B18" s="571" t="s">
        <v>142</v>
      </c>
      <c r="C18" s="736" t="s">
        <v>147</v>
      </c>
      <c r="D18" s="736"/>
      <c r="E18" s="736"/>
      <c r="F18" s="736"/>
      <c r="G18" s="736"/>
      <c r="H18" s="736"/>
      <c r="I18" s="736"/>
      <c r="J18" s="736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</row>
    <row r="19" spans="1:106" s="15" customFormat="1" ht="47.25" customHeight="1">
      <c r="A19" s="74">
        <v>4</v>
      </c>
      <c r="B19" s="572" t="s">
        <v>143</v>
      </c>
      <c r="C19" s="768" t="s">
        <v>1054</v>
      </c>
      <c r="D19" s="768"/>
      <c r="E19" s="768"/>
      <c r="F19" s="768"/>
      <c r="G19" s="74" t="s">
        <v>179</v>
      </c>
      <c r="H19" s="78">
        <f>M5*0.8+300*0.8</f>
        <v>560</v>
      </c>
      <c r="I19" s="78"/>
      <c r="J19" s="662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54" hidden="1" customHeight="1">
      <c r="A20" s="755"/>
      <c r="B20" s="766"/>
      <c r="C20" s="764" t="s">
        <v>978</v>
      </c>
      <c r="D20" s="764"/>
      <c r="E20" s="764"/>
      <c r="F20" s="764"/>
      <c r="G20" s="758" t="s">
        <v>178</v>
      </c>
      <c r="H20" s="767" t="s">
        <v>34</v>
      </c>
      <c r="I20" s="632"/>
      <c r="J20" s="66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15" customFormat="1" ht="18" hidden="1" customHeight="1">
      <c r="A21" s="755"/>
      <c r="B21" s="766"/>
      <c r="C21" s="672" t="s">
        <v>714</v>
      </c>
      <c r="D21" s="67" t="e">
        <f>#REF!</f>
        <v>#REF!</v>
      </c>
      <c r="E21" s="109" t="str">
        <f>G20</f>
        <v>m3</v>
      </c>
      <c r="F21" s="67" t="s">
        <v>716</v>
      </c>
      <c r="G21" s="758"/>
      <c r="H21" s="767"/>
      <c r="I21" s="632"/>
      <c r="J21" s="66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</row>
    <row r="22" spans="1:106" s="3" customFormat="1" ht="31.5" customHeight="1">
      <c r="A22" s="21"/>
      <c r="B22" s="448" t="s">
        <v>57</v>
      </c>
      <c r="C22" s="737" t="s">
        <v>181</v>
      </c>
      <c r="D22" s="737"/>
      <c r="E22" s="737"/>
      <c r="F22" s="737"/>
      <c r="G22" s="737"/>
      <c r="H22" s="737"/>
      <c r="I22" s="737"/>
      <c r="J22" s="737"/>
    </row>
    <row r="23" spans="1:106" s="1" customFormat="1" ht="18" customHeight="1">
      <c r="A23" s="64" t="s">
        <v>34</v>
      </c>
      <c r="B23" s="571" t="s">
        <v>98</v>
      </c>
      <c r="C23" s="736" t="s">
        <v>99</v>
      </c>
      <c r="D23" s="736"/>
      <c r="E23" s="736"/>
      <c r="F23" s="736"/>
      <c r="G23" s="736"/>
      <c r="H23" s="736"/>
      <c r="I23" s="736"/>
      <c r="J23" s="736"/>
    </row>
    <row r="24" spans="1:106" s="1" customFormat="1" ht="34.5" customHeight="1">
      <c r="A24" s="86">
        <v>5</v>
      </c>
      <c r="B24" s="431" t="s">
        <v>970</v>
      </c>
      <c r="C24" s="778" t="s">
        <v>1056</v>
      </c>
      <c r="D24" s="778"/>
      <c r="E24" s="778"/>
      <c r="F24" s="778"/>
      <c r="G24" s="86" t="s">
        <v>176</v>
      </c>
      <c r="H24" s="87">
        <f>M5*1.5</f>
        <v>600</v>
      </c>
      <c r="I24" s="566"/>
      <c r="J24" s="662"/>
    </row>
    <row r="25" spans="1:106" s="1" customFormat="1" ht="33" customHeight="1">
      <c r="A25" s="86">
        <v>6</v>
      </c>
      <c r="B25" s="431" t="s">
        <v>1057</v>
      </c>
      <c r="C25" s="794" t="s">
        <v>1055</v>
      </c>
      <c r="D25" s="795"/>
      <c r="E25" s="795"/>
      <c r="F25" s="796"/>
      <c r="G25" s="86" t="s">
        <v>176</v>
      </c>
      <c r="H25" s="87">
        <f>50*3.2</f>
        <v>160</v>
      </c>
      <c r="I25" s="566"/>
      <c r="J25" s="662"/>
    </row>
    <row r="26" spans="1:106" s="1" customFormat="1" ht="33" customHeight="1">
      <c r="A26" s="64" t="s">
        <v>34</v>
      </c>
      <c r="B26" s="571" t="s">
        <v>114</v>
      </c>
      <c r="C26" s="736" t="s">
        <v>1024</v>
      </c>
      <c r="D26" s="736"/>
      <c r="E26" s="736"/>
      <c r="F26" s="736"/>
      <c r="G26" s="736"/>
      <c r="H26" s="736"/>
      <c r="I26" s="736"/>
      <c r="J26" s="736"/>
    </row>
    <row r="27" spans="1:106" s="1" customFormat="1" ht="33" customHeight="1">
      <c r="A27" s="86">
        <v>7</v>
      </c>
      <c r="B27" s="564" t="s">
        <v>162</v>
      </c>
      <c r="C27" s="778" t="s">
        <v>1023</v>
      </c>
      <c r="D27" s="778"/>
      <c r="E27" s="778"/>
      <c r="F27" s="778"/>
      <c r="G27" s="86" t="s">
        <v>176</v>
      </c>
      <c r="H27" s="87">
        <f>H24+H25</f>
        <v>760</v>
      </c>
      <c r="I27" s="566"/>
      <c r="J27" s="662"/>
    </row>
    <row r="28" spans="1:106" s="8" customFormat="1" ht="18" customHeight="1">
      <c r="A28" s="64" t="s">
        <v>34</v>
      </c>
      <c r="B28" s="571" t="s">
        <v>972</v>
      </c>
      <c r="C28" s="736" t="s">
        <v>20</v>
      </c>
      <c r="D28" s="736"/>
      <c r="E28" s="736"/>
      <c r="F28" s="736"/>
      <c r="G28" s="736"/>
      <c r="H28" s="736"/>
      <c r="I28" s="736"/>
      <c r="J28" s="736"/>
    </row>
    <row r="29" spans="1:106" s="8" customFormat="1" ht="47.25" customHeight="1">
      <c r="A29" s="86">
        <v>8</v>
      </c>
      <c r="B29" s="623" t="s">
        <v>1028</v>
      </c>
      <c r="C29" s="769" t="s">
        <v>1027</v>
      </c>
      <c r="D29" s="769"/>
      <c r="E29" s="769"/>
      <c r="F29" s="769"/>
      <c r="G29" s="86" t="s">
        <v>176</v>
      </c>
      <c r="H29" s="87">
        <f>M5*3.7</f>
        <v>1480</v>
      </c>
      <c r="I29" s="566"/>
      <c r="J29" s="662"/>
      <c r="L29" s="8" t="s">
        <v>1081</v>
      </c>
    </row>
    <row r="30" spans="1:106" s="8" customFormat="1" ht="39" customHeight="1">
      <c r="A30" s="86">
        <v>9</v>
      </c>
      <c r="B30" s="623" t="s">
        <v>984</v>
      </c>
      <c r="C30" s="769" t="s">
        <v>485</v>
      </c>
      <c r="D30" s="769"/>
      <c r="E30" s="769"/>
      <c r="F30" s="769"/>
      <c r="G30" s="86" t="s">
        <v>176</v>
      </c>
      <c r="H30" s="87">
        <f>M5*1.5+H25</f>
        <v>760</v>
      </c>
      <c r="I30" s="566"/>
      <c r="J30" s="662"/>
    </row>
    <row r="31" spans="1:106" s="8" customFormat="1" ht="33" customHeight="1">
      <c r="A31" s="524"/>
      <c r="B31" s="524" t="s">
        <v>59</v>
      </c>
      <c r="C31" s="770" t="s">
        <v>182</v>
      </c>
      <c r="D31" s="770"/>
      <c r="E31" s="770"/>
      <c r="F31" s="770"/>
      <c r="G31" s="770"/>
      <c r="H31" s="770"/>
      <c r="I31" s="770"/>
      <c r="J31" s="770"/>
    </row>
    <row r="32" spans="1:106" s="16" customFormat="1" ht="25.5" hidden="1" customHeight="1">
      <c r="A32" s="64" t="s">
        <v>34</v>
      </c>
      <c r="B32" s="276" t="s">
        <v>116</v>
      </c>
      <c r="C32" s="741" t="s">
        <v>776</v>
      </c>
      <c r="D32" s="741"/>
      <c r="E32" s="741"/>
      <c r="F32" s="741"/>
      <c r="G32" s="741" t="s">
        <v>8</v>
      </c>
      <c r="H32" s="741"/>
      <c r="I32" s="673"/>
      <c r="J32" s="669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</row>
    <row r="33" spans="1:68" s="204" customFormat="1" ht="29.25" hidden="1" customHeight="1">
      <c r="A33" s="86">
        <v>27</v>
      </c>
      <c r="B33" s="650" t="s">
        <v>116</v>
      </c>
      <c r="C33" s="771" t="s">
        <v>820</v>
      </c>
      <c r="D33" s="771"/>
      <c r="E33" s="771"/>
      <c r="F33" s="771"/>
      <c r="G33" s="289" t="s">
        <v>919</v>
      </c>
      <c r="H33" s="671" t="e">
        <f>SUM(#REF!)</f>
        <v>#REF!</v>
      </c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9.25" hidden="1" customHeight="1">
      <c r="A34" s="772"/>
      <c r="B34" s="773"/>
      <c r="C34" s="774" t="s">
        <v>778</v>
      </c>
      <c r="D34" s="774"/>
      <c r="E34" s="774"/>
      <c r="F34" s="774"/>
      <c r="G34" s="775" t="s">
        <v>920</v>
      </c>
      <c r="H34" s="776" t="s">
        <v>34</v>
      </c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20.25" hidden="1" customHeight="1">
      <c r="A35" s="772"/>
      <c r="B35" s="773"/>
      <c r="C35" s="645" t="s">
        <v>713</v>
      </c>
      <c r="D35" s="652" t="e">
        <f>#REF!</f>
        <v>#REF!</v>
      </c>
      <c r="E35" s="290" t="str">
        <f>G34</f>
        <v>m2</v>
      </c>
      <c r="F35" s="652" t="s">
        <v>716</v>
      </c>
      <c r="G35" s="775"/>
      <c r="H35" s="776"/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20.25" hidden="1" customHeight="1">
      <c r="A36" s="276" t="s">
        <v>34</v>
      </c>
      <c r="B36" s="276" t="s">
        <v>845</v>
      </c>
      <c r="C36" s="741" t="s">
        <v>847</v>
      </c>
      <c r="D36" s="741" t="s">
        <v>8</v>
      </c>
      <c r="E36" s="741"/>
      <c r="F36" s="741"/>
      <c r="G36" s="655" t="s">
        <v>8</v>
      </c>
      <c r="H36" s="655"/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36" hidden="1" customHeight="1">
      <c r="A37" s="593">
        <v>44</v>
      </c>
      <c r="B37" s="656" t="s">
        <v>846</v>
      </c>
      <c r="C37" s="771" t="s">
        <v>915</v>
      </c>
      <c r="D37" s="771"/>
      <c r="E37" s="771"/>
      <c r="F37" s="771"/>
      <c r="G37" s="289" t="s">
        <v>919</v>
      </c>
      <c r="H37" s="671" t="e">
        <f>SUM(#REF!)</f>
        <v>#REF!</v>
      </c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45.75" hidden="1" customHeight="1">
      <c r="A38" s="775"/>
      <c r="B38" s="773"/>
      <c r="C38" s="774" t="s">
        <v>940</v>
      </c>
      <c r="D38" s="774"/>
      <c r="E38" s="774"/>
      <c r="F38" s="774"/>
      <c r="G38" s="775" t="s">
        <v>920</v>
      </c>
      <c r="H38" s="776" t="s">
        <v>34</v>
      </c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24.75" hidden="1" customHeight="1">
      <c r="A39" s="775"/>
      <c r="B39" s="773"/>
      <c r="C39" s="645" t="s">
        <v>713</v>
      </c>
      <c r="D39" s="652" t="e">
        <f>#REF!</f>
        <v>#REF!</v>
      </c>
      <c r="E39" s="290" t="str">
        <f>G38</f>
        <v>m2</v>
      </c>
      <c r="F39" s="652" t="s">
        <v>811</v>
      </c>
      <c r="G39" s="775"/>
      <c r="H39" s="776"/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34.5" hidden="1" customHeight="1">
      <c r="A40" s="64" t="s">
        <v>34</v>
      </c>
      <c r="B40" s="276" t="s">
        <v>848</v>
      </c>
      <c r="C40" s="741" t="s">
        <v>849</v>
      </c>
      <c r="D40" s="741" t="s">
        <v>8</v>
      </c>
      <c r="E40" s="741"/>
      <c r="F40" s="741"/>
      <c r="G40" s="655" t="s">
        <v>8</v>
      </c>
      <c r="H40" s="655"/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20.25" hidden="1" customHeight="1">
      <c r="A41" s="458">
        <v>29</v>
      </c>
      <c r="B41" s="656" t="s">
        <v>846</v>
      </c>
      <c r="C41" s="771" t="s">
        <v>844</v>
      </c>
      <c r="D41" s="771"/>
      <c r="E41" s="771"/>
      <c r="F41" s="771"/>
      <c r="G41" s="289" t="s">
        <v>919</v>
      </c>
      <c r="H41" s="671" t="e">
        <f>SUM(#REF!)</f>
        <v>#REF!</v>
      </c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47.25" hidden="1" customHeight="1">
      <c r="A42" s="772"/>
      <c r="B42" s="773"/>
      <c r="C42" s="774" t="s">
        <v>843</v>
      </c>
      <c r="D42" s="774"/>
      <c r="E42" s="774"/>
      <c r="F42" s="774"/>
      <c r="G42" s="775" t="s">
        <v>920</v>
      </c>
      <c r="H42" s="776" t="s">
        <v>34</v>
      </c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20.25" hidden="1" customHeight="1">
      <c r="A43" s="772"/>
      <c r="B43" s="773"/>
      <c r="C43" s="645" t="s">
        <v>713</v>
      </c>
      <c r="D43" s="652" t="e">
        <f>#REF!</f>
        <v>#REF!</v>
      </c>
      <c r="E43" s="290" t="str">
        <f>G42</f>
        <v>m2</v>
      </c>
      <c r="F43" s="652" t="s">
        <v>811</v>
      </c>
      <c r="G43" s="775"/>
      <c r="H43" s="776"/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20.25" hidden="1" customHeight="1">
      <c r="A44" s="458">
        <v>30</v>
      </c>
      <c r="B44" s="656" t="s">
        <v>851</v>
      </c>
      <c r="C44" s="771" t="s">
        <v>852</v>
      </c>
      <c r="D44" s="771"/>
      <c r="E44" s="771"/>
      <c r="F44" s="771"/>
      <c r="G44" s="289" t="s">
        <v>919</v>
      </c>
      <c r="H44" s="671" t="e">
        <f>SUM(#REF!)</f>
        <v>#REF!</v>
      </c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45.75" hidden="1" customHeight="1">
      <c r="A45" s="772"/>
      <c r="B45" s="773"/>
      <c r="C45" s="774" t="s">
        <v>853</v>
      </c>
      <c r="D45" s="774"/>
      <c r="E45" s="774"/>
      <c r="F45" s="774"/>
      <c r="G45" s="775" t="s">
        <v>920</v>
      </c>
      <c r="H45" s="776" t="s">
        <v>34</v>
      </c>
      <c r="I45" s="674"/>
      <c r="J45" s="665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20.25" hidden="1" customHeight="1">
      <c r="A46" s="772"/>
      <c r="B46" s="773"/>
      <c r="C46" s="645" t="s">
        <v>713</v>
      </c>
      <c r="D46" s="652" t="e">
        <f>#REF!</f>
        <v>#REF!</v>
      </c>
      <c r="E46" s="290" t="str">
        <f>G45</f>
        <v>m2</v>
      </c>
      <c r="F46" s="652" t="s">
        <v>811</v>
      </c>
      <c r="G46" s="775"/>
      <c r="H46" s="776"/>
      <c r="I46" s="674"/>
      <c r="J46" s="665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20.25" customHeight="1">
      <c r="A47" s="571"/>
      <c r="B47" s="64" t="s">
        <v>116</v>
      </c>
      <c r="C47" s="736" t="s">
        <v>776</v>
      </c>
      <c r="D47" s="736"/>
      <c r="E47" s="736"/>
      <c r="F47" s="736"/>
      <c r="G47" s="736"/>
      <c r="H47" s="736"/>
      <c r="I47" s="736"/>
      <c r="J47" s="736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</row>
    <row r="48" spans="1:68" s="204" customFormat="1" ht="36.75" customHeight="1">
      <c r="A48" s="679" t="s">
        <v>1059</v>
      </c>
      <c r="B48" s="564" t="s">
        <v>213</v>
      </c>
      <c r="C48" s="769" t="s">
        <v>1021</v>
      </c>
      <c r="D48" s="769"/>
      <c r="E48" s="769"/>
      <c r="F48" s="769"/>
      <c r="G48" s="458" t="s">
        <v>176</v>
      </c>
      <c r="H48" s="566">
        <v>38</v>
      </c>
      <c r="I48" s="389"/>
      <c r="J48" s="662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</row>
    <row r="49" spans="1:68" s="204" customFormat="1" ht="22.5" customHeight="1">
      <c r="A49" s="64" t="s">
        <v>34</v>
      </c>
      <c r="B49" s="64" t="s">
        <v>21</v>
      </c>
      <c r="C49" s="736" t="s">
        <v>1078</v>
      </c>
      <c r="D49" s="736"/>
      <c r="E49" s="736"/>
      <c r="F49" s="736"/>
      <c r="G49" s="736"/>
      <c r="H49" s="736"/>
      <c r="I49" s="736"/>
      <c r="J49" s="736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0.75" hidden="1" customHeight="1">
      <c r="A50" s="289">
        <v>45</v>
      </c>
      <c r="B50" s="656" t="s">
        <v>816</v>
      </c>
      <c r="C50" s="771" t="s">
        <v>935</v>
      </c>
      <c r="D50" s="771"/>
      <c r="E50" s="771"/>
      <c r="F50" s="771"/>
      <c r="G50" s="289" t="s">
        <v>924</v>
      </c>
      <c r="H50" s="671" t="e">
        <f>SUM(#REF!)</f>
        <v>#REF!</v>
      </c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36.75" hidden="1" customHeight="1">
      <c r="A51" s="775"/>
      <c r="B51" s="777"/>
      <c r="C51" s="774" t="s">
        <v>936</v>
      </c>
      <c r="D51" s="774"/>
      <c r="E51" s="774"/>
      <c r="F51" s="774"/>
      <c r="G51" s="775" t="s">
        <v>924</v>
      </c>
      <c r="H51" s="776" t="s">
        <v>34</v>
      </c>
      <c r="I51" s="674"/>
      <c r="J51" s="665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204" customFormat="1" ht="30" hidden="1" customHeight="1">
      <c r="A52" s="775"/>
      <c r="B52" s="777"/>
      <c r="C52" s="645" t="s">
        <v>713</v>
      </c>
      <c r="D52" s="652" t="e">
        <f>#REF!</f>
        <v>#REF!</v>
      </c>
      <c r="E52" s="290" t="s">
        <v>924</v>
      </c>
      <c r="F52" s="652" t="s">
        <v>716</v>
      </c>
      <c r="G52" s="775"/>
      <c r="H52" s="776"/>
      <c r="I52" s="674"/>
      <c r="J52" s="665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</row>
    <row r="53" spans="1:68" s="204" customFormat="1" ht="43.5" customHeight="1">
      <c r="A53" s="86">
        <v>11</v>
      </c>
      <c r="B53" s="564" t="s">
        <v>1008</v>
      </c>
      <c r="C53" s="778" t="s">
        <v>1079</v>
      </c>
      <c r="D53" s="778"/>
      <c r="E53" s="778"/>
      <c r="F53" s="778"/>
      <c r="G53" s="86" t="s">
        <v>176</v>
      </c>
      <c r="H53" s="77">
        <f>M5*3*1.05</f>
        <v>1260</v>
      </c>
      <c r="I53" s="77"/>
      <c r="J53" s="662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</row>
    <row r="54" spans="1:68" s="41" customFormat="1" ht="35.25" customHeight="1">
      <c r="A54" s="21"/>
      <c r="B54" s="448" t="s">
        <v>60</v>
      </c>
      <c r="C54" s="737" t="s">
        <v>183</v>
      </c>
      <c r="D54" s="737"/>
      <c r="E54" s="737"/>
      <c r="F54" s="737"/>
      <c r="G54" s="737"/>
      <c r="H54" s="737"/>
      <c r="I54" s="737"/>
      <c r="J54" s="737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</row>
    <row r="55" spans="1:68" s="8" customFormat="1" ht="19.5" customHeight="1">
      <c r="A55" s="64" t="s">
        <v>34</v>
      </c>
      <c r="B55" s="571" t="s">
        <v>23</v>
      </c>
      <c r="C55" s="736" t="s">
        <v>167</v>
      </c>
      <c r="D55" s="736"/>
      <c r="E55" s="736"/>
      <c r="F55" s="736"/>
      <c r="G55" s="736" t="s">
        <v>8</v>
      </c>
      <c r="H55" s="736"/>
      <c r="I55" s="736"/>
      <c r="J55" s="736"/>
    </row>
    <row r="56" spans="1:68" s="11" customFormat="1" ht="28.5" customHeight="1">
      <c r="A56" s="86">
        <v>12</v>
      </c>
      <c r="B56" s="432" t="s">
        <v>0</v>
      </c>
      <c r="C56" s="778" t="s">
        <v>74</v>
      </c>
      <c r="D56" s="778"/>
      <c r="E56" s="778"/>
      <c r="F56" s="778"/>
      <c r="G56" s="86" t="s">
        <v>176</v>
      </c>
      <c r="H56" s="87">
        <f>H9/2</f>
        <v>200</v>
      </c>
      <c r="I56" s="566"/>
      <c r="J56" s="662"/>
    </row>
    <row r="57" spans="1:68" s="8" customFormat="1" ht="38.25" hidden="1" customHeight="1">
      <c r="A57" s="779"/>
      <c r="B57" s="780"/>
      <c r="C57" s="781" t="s">
        <v>983</v>
      </c>
      <c r="D57" s="781"/>
      <c r="E57" s="781"/>
      <c r="F57" s="781"/>
      <c r="G57" s="772" t="s">
        <v>177</v>
      </c>
      <c r="H57" s="782" t="s">
        <v>34</v>
      </c>
      <c r="I57" s="106"/>
      <c r="J57" s="662"/>
    </row>
    <row r="58" spans="1:68" s="8" customFormat="1" ht="16.5" hidden="1" customHeight="1">
      <c r="A58" s="779"/>
      <c r="B58" s="780"/>
      <c r="C58" s="672" t="s">
        <v>713</v>
      </c>
      <c r="D58" s="67" t="e">
        <f>#REF!</f>
        <v>#REF!</v>
      </c>
      <c r="E58" s="109" t="str">
        <f>G57</f>
        <v>m2</v>
      </c>
      <c r="F58" s="67" t="s">
        <v>715</v>
      </c>
      <c r="G58" s="772"/>
      <c r="H58" s="782"/>
      <c r="I58" s="106"/>
      <c r="J58" s="662"/>
    </row>
    <row r="59" spans="1:68" s="8" customFormat="1" ht="30" customHeight="1">
      <c r="A59" s="379">
        <v>13</v>
      </c>
      <c r="B59" s="564" t="s">
        <v>695</v>
      </c>
      <c r="C59" s="806" t="s">
        <v>1064</v>
      </c>
      <c r="D59" s="806"/>
      <c r="E59" s="806"/>
      <c r="F59" s="806"/>
      <c r="G59" s="86" t="s">
        <v>176</v>
      </c>
      <c r="H59" s="87">
        <f>40*1.5</f>
        <v>60</v>
      </c>
      <c r="I59" s="87"/>
      <c r="J59" s="662"/>
    </row>
    <row r="60" spans="1:68" s="8" customFormat="1" ht="19.5" customHeight="1">
      <c r="A60" s="64" t="s">
        <v>34</v>
      </c>
      <c r="B60" s="450" t="s">
        <v>976</v>
      </c>
      <c r="C60" s="736" t="s">
        <v>975</v>
      </c>
      <c r="D60" s="736"/>
      <c r="E60" s="736"/>
      <c r="F60" s="736"/>
      <c r="G60" s="736" t="s">
        <v>8</v>
      </c>
      <c r="H60" s="736"/>
      <c r="I60" s="736"/>
      <c r="J60" s="736"/>
    </row>
    <row r="61" spans="1:68" s="11" customFormat="1" ht="29.25" customHeight="1">
      <c r="A61" s="86">
        <v>14</v>
      </c>
      <c r="B61" s="432" t="s">
        <v>977</v>
      </c>
      <c r="C61" s="778" t="s">
        <v>1017</v>
      </c>
      <c r="D61" s="778"/>
      <c r="E61" s="778"/>
      <c r="F61" s="778"/>
      <c r="G61" s="86" t="s">
        <v>176</v>
      </c>
      <c r="H61" s="87">
        <f>M5*2*0.5</f>
        <v>400</v>
      </c>
      <c r="I61" s="77"/>
      <c r="J61" s="662"/>
    </row>
    <row r="62" spans="1:68" s="11" customFormat="1" ht="29.25" customHeight="1">
      <c r="A62" s="21"/>
      <c r="B62" s="21" t="s">
        <v>64</v>
      </c>
      <c r="C62" s="797" t="s">
        <v>185</v>
      </c>
      <c r="D62" s="798"/>
      <c r="E62" s="798"/>
      <c r="F62" s="798"/>
      <c r="G62" s="798" t="s">
        <v>8</v>
      </c>
      <c r="H62" s="798"/>
      <c r="I62" s="798"/>
      <c r="J62" s="798"/>
      <c r="K62" s="799"/>
    </row>
    <row r="63" spans="1:68" s="11" customFormat="1" ht="29.25" customHeight="1">
      <c r="A63" s="64" t="s">
        <v>34</v>
      </c>
      <c r="B63" s="670" t="s">
        <v>957</v>
      </c>
      <c r="C63" s="800" t="s">
        <v>956</v>
      </c>
      <c r="D63" s="801"/>
      <c r="E63" s="801"/>
      <c r="F63" s="801"/>
      <c r="G63" s="801" t="s">
        <v>8</v>
      </c>
      <c r="H63" s="801"/>
      <c r="I63" s="801"/>
      <c r="J63" s="801"/>
      <c r="K63" s="802"/>
    </row>
    <row r="64" spans="1:68" s="11" customFormat="1" ht="29.25" customHeight="1">
      <c r="A64" s="86">
        <v>15</v>
      </c>
      <c r="B64" s="569" t="s">
        <v>958</v>
      </c>
      <c r="C64" s="803" t="s">
        <v>1065</v>
      </c>
      <c r="D64" s="804"/>
      <c r="E64" s="804"/>
      <c r="F64" s="805"/>
      <c r="G64" s="86" t="s">
        <v>11</v>
      </c>
      <c r="H64" s="87">
        <v>180</v>
      </c>
      <c r="I64" s="87"/>
      <c r="J64" s="566"/>
      <c r="K64" s="662">
        <f>I64*J64</f>
        <v>0</v>
      </c>
    </row>
    <row r="65" spans="1:106" ht="21" customHeight="1">
      <c r="A65" s="783" t="s">
        <v>1014</v>
      </c>
      <c r="B65" s="783"/>
      <c r="C65" s="783"/>
      <c r="D65" s="783"/>
      <c r="E65" s="783"/>
      <c r="F65" s="783"/>
      <c r="G65" s="783"/>
      <c r="H65" s="783"/>
      <c r="I65" s="783"/>
      <c r="J65" s="592"/>
    </row>
    <row r="66" spans="1:106" ht="21" customHeight="1">
      <c r="A66" s="783" t="s">
        <v>76</v>
      </c>
      <c r="B66" s="783"/>
      <c r="C66" s="783"/>
      <c r="D66" s="783"/>
      <c r="E66" s="783"/>
      <c r="F66" s="783"/>
      <c r="G66" s="783"/>
      <c r="H66" s="783"/>
      <c r="I66" s="783"/>
      <c r="J66" s="592"/>
    </row>
    <row r="67" spans="1:106" ht="21" customHeight="1">
      <c r="A67" s="783" t="s">
        <v>90</v>
      </c>
      <c r="B67" s="783"/>
      <c r="C67" s="783"/>
      <c r="D67" s="783"/>
      <c r="E67" s="783"/>
      <c r="F67" s="783"/>
      <c r="G67" s="783"/>
      <c r="H67" s="783"/>
      <c r="I67" s="783"/>
      <c r="J67" s="592"/>
    </row>
    <row r="68" spans="1:106" ht="21" customHeight="1">
      <c r="A68" s="553"/>
      <c r="B68" s="553"/>
      <c r="C68" s="554"/>
      <c r="D68" s="556"/>
      <c r="E68" s="555"/>
      <c r="F68" s="555"/>
      <c r="G68" s="500"/>
      <c r="H68" s="547"/>
    </row>
    <row r="69" spans="1:106" ht="12.75" customHeight="1">
      <c r="B69" s="494"/>
      <c r="C69" s="507"/>
      <c r="D69" s="504"/>
      <c r="E69" s="494"/>
      <c r="F69" s="526"/>
      <c r="G69" s="526"/>
    </row>
    <row r="70" spans="1:106" ht="12.75" customHeight="1">
      <c r="B70" s="494"/>
      <c r="C70" s="507"/>
      <c r="D70" s="504"/>
      <c r="E70" s="494"/>
      <c r="F70" s="526"/>
      <c r="G70" s="526"/>
    </row>
    <row r="71" spans="1:106" s="18" customFormat="1" ht="12.75" customHeight="1">
      <c r="A71" s="17"/>
      <c r="B71" s="494"/>
      <c r="C71" s="507"/>
      <c r="D71" s="504"/>
      <c r="E71" s="494"/>
      <c r="F71" s="526"/>
      <c r="G71" s="526"/>
      <c r="I71" s="40"/>
      <c r="J71" s="488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</row>
    <row r="72" spans="1:106" s="18" customFormat="1" ht="12.75" customHeight="1">
      <c r="A72" s="17"/>
      <c r="B72" s="494"/>
      <c r="C72" s="507"/>
      <c r="D72" s="504"/>
      <c r="E72" s="494"/>
      <c r="F72" s="526"/>
      <c r="G72" s="526"/>
      <c r="I72" s="40"/>
      <c r="J72" s="488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</row>
  </sheetData>
  <mergeCells count="98">
    <mergeCell ref="C59:F59"/>
    <mergeCell ref="C60:J60"/>
    <mergeCell ref="C61:F61"/>
    <mergeCell ref="A65:I65"/>
    <mergeCell ref="A66:I66"/>
    <mergeCell ref="A67:I67"/>
    <mergeCell ref="C24:F24"/>
    <mergeCell ref="C29:F29"/>
    <mergeCell ref="C62:K62"/>
    <mergeCell ref="C63:K63"/>
    <mergeCell ref="C64:F64"/>
    <mergeCell ref="C53:F53"/>
    <mergeCell ref="C54:J54"/>
    <mergeCell ref="C55:J55"/>
    <mergeCell ref="C56:F56"/>
    <mergeCell ref="A57:A58"/>
    <mergeCell ref="B57:B58"/>
    <mergeCell ref="C57:F57"/>
    <mergeCell ref="G57:G58"/>
    <mergeCell ref="H57:H58"/>
    <mergeCell ref="C47:J47"/>
    <mergeCell ref="C48:F48"/>
    <mergeCell ref="C49:J49"/>
    <mergeCell ref="C50:F50"/>
    <mergeCell ref="A51:A52"/>
    <mergeCell ref="B51:B52"/>
    <mergeCell ref="C51:F51"/>
    <mergeCell ref="G51:G52"/>
    <mergeCell ref="H51:H52"/>
    <mergeCell ref="H45:H46"/>
    <mergeCell ref="H38:H39"/>
    <mergeCell ref="C40:F40"/>
    <mergeCell ref="C41:F41"/>
    <mergeCell ref="A42:A43"/>
    <mergeCell ref="B42:B43"/>
    <mergeCell ref="C42:F42"/>
    <mergeCell ref="G42:G43"/>
    <mergeCell ref="H42:H43"/>
    <mergeCell ref="G38:G39"/>
    <mergeCell ref="C44:F44"/>
    <mergeCell ref="A45:A46"/>
    <mergeCell ref="B45:B46"/>
    <mergeCell ref="C45:F45"/>
    <mergeCell ref="G45:G46"/>
    <mergeCell ref="C36:F36"/>
    <mergeCell ref="C37:F37"/>
    <mergeCell ref="A38:A39"/>
    <mergeCell ref="B38:B39"/>
    <mergeCell ref="C38:F38"/>
    <mergeCell ref="C31:J31"/>
    <mergeCell ref="C32:H32"/>
    <mergeCell ref="C33:F33"/>
    <mergeCell ref="A34:A35"/>
    <mergeCell ref="B34:B35"/>
    <mergeCell ref="C34:F34"/>
    <mergeCell ref="G34:G35"/>
    <mergeCell ref="H34:H35"/>
    <mergeCell ref="C30:F30"/>
    <mergeCell ref="A20:A21"/>
    <mergeCell ref="B20:B21"/>
    <mergeCell ref="C20:F20"/>
    <mergeCell ref="G20:G21"/>
    <mergeCell ref="C23:J23"/>
    <mergeCell ref="C25:F25"/>
    <mergeCell ref="C26:J26"/>
    <mergeCell ref="C27:F27"/>
    <mergeCell ref="C28:J28"/>
    <mergeCell ref="H20:H21"/>
    <mergeCell ref="C22:J22"/>
    <mergeCell ref="M13:P13"/>
    <mergeCell ref="C15:F15"/>
    <mergeCell ref="C16:F16"/>
    <mergeCell ref="C17:J17"/>
    <mergeCell ref="C18:J18"/>
    <mergeCell ref="C19:F19"/>
    <mergeCell ref="C12:J12"/>
    <mergeCell ref="A13:A14"/>
    <mergeCell ref="B13:B14"/>
    <mergeCell ref="C13:F13"/>
    <mergeCell ref="G13:G14"/>
    <mergeCell ref="H13:H14"/>
    <mergeCell ref="C8:J8"/>
    <mergeCell ref="C9:F9"/>
    <mergeCell ref="A10:A11"/>
    <mergeCell ref="B10:B11"/>
    <mergeCell ref="C10:F10"/>
    <mergeCell ref="G10:G11"/>
    <mergeCell ref="H10:H11"/>
    <mergeCell ref="A1:J1"/>
    <mergeCell ref="A2:J2"/>
    <mergeCell ref="C3:F3"/>
    <mergeCell ref="B4:J4"/>
    <mergeCell ref="C5:J5"/>
    <mergeCell ref="A6:A7"/>
    <mergeCell ref="B6:B7"/>
    <mergeCell ref="C6:F6"/>
    <mergeCell ref="G6:G7"/>
    <mergeCell ref="H6:H7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6"/>
  <sheetViews>
    <sheetView view="pageBreakPreview" zoomScaleNormal="100" zoomScaleSheetLayoutView="100" workbookViewId="0">
      <selection activeCell="A2" sqref="A2:J2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44" t="s">
        <v>1084</v>
      </c>
      <c r="B1" s="744"/>
      <c r="C1" s="744"/>
      <c r="D1" s="744"/>
      <c r="E1" s="744"/>
      <c r="F1" s="744"/>
      <c r="G1" s="744"/>
      <c r="H1" s="744"/>
      <c r="I1" s="744"/>
      <c r="J1" s="744"/>
    </row>
    <row r="2" spans="1:18" s="4" customFormat="1" ht="39" customHeight="1">
      <c r="A2" s="760" t="s">
        <v>1072</v>
      </c>
      <c r="B2" s="760"/>
      <c r="C2" s="760"/>
      <c r="D2" s="760"/>
      <c r="E2" s="760"/>
      <c r="F2" s="760"/>
      <c r="G2" s="760"/>
      <c r="H2" s="760"/>
      <c r="I2" s="760"/>
      <c r="J2" s="760"/>
    </row>
    <row r="3" spans="1:18" ht="45" customHeight="1">
      <c r="A3" s="74" t="s">
        <v>3</v>
      </c>
      <c r="B3" s="449" t="s">
        <v>199</v>
      </c>
      <c r="C3" s="755" t="s">
        <v>4</v>
      </c>
      <c r="D3" s="755"/>
      <c r="E3" s="755"/>
      <c r="F3" s="755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61" t="s">
        <v>1006</v>
      </c>
      <c r="C4" s="761"/>
      <c r="D4" s="761"/>
      <c r="E4" s="761"/>
      <c r="F4" s="761"/>
      <c r="G4" s="761"/>
      <c r="H4" s="761"/>
      <c r="I4" s="761"/>
      <c r="J4" s="761"/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</row>
    <row r="6" spans="1:18" ht="44.25" hidden="1" customHeight="1">
      <c r="A6" s="755"/>
      <c r="B6" s="756"/>
      <c r="C6" s="757" t="s">
        <v>733</v>
      </c>
      <c r="D6" s="757"/>
      <c r="E6" s="757"/>
      <c r="F6" s="757"/>
      <c r="G6" s="758" t="s">
        <v>177</v>
      </c>
      <c r="H6" s="759" t="s">
        <v>34</v>
      </c>
      <c r="I6" s="377"/>
      <c r="J6" s="521"/>
    </row>
    <row r="7" spans="1:18" ht="21.75" hidden="1" customHeight="1">
      <c r="A7" s="755"/>
      <c r="B7" s="756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58"/>
      <c r="H7" s="759"/>
      <c r="I7" s="377"/>
      <c r="J7" s="521"/>
    </row>
    <row r="8" spans="1:18" ht="18" customHeight="1">
      <c r="A8" s="64" t="s">
        <v>34</v>
      </c>
      <c r="B8" s="571" t="s">
        <v>14</v>
      </c>
      <c r="C8" s="736" t="s">
        <v>108</v>
      </c>
      <c r="D8" s="736"/>
      <c r="E8" s="736"/>
      <c r="F8" s="736"/>
      <c r="G8" s="736"/>
      <c r="H8" s="736"/>
      <c r="I8" s="736"/>
      <c r="J8" s="736"/>
    </row>
    <row r="9" spans="1:18" s="14" customFormat="1" ht="31.5" customHeight="1">
      <c r="A9" s="74">
        <v>1</v>
      </c>
      <c r="B9" s="449" t="s">
        <v>952</v>
      </c>
      <c r="C9" s="762" t="s">
        <v>1018</v>
      </c>
      <c r="D9" s="762"/>
      <c r="E9" s="762"/>
      <c r="F9" s="762"/>
      <c r="G9" s="74" t="s">
        <v>176</v>
      </c>
      <c r="H9" s="78">
        <f>220*1</f>
        <v>220</v>
      </c>
      <c r="I9" s="78"/>
      <c r="J9" s="662"/>
    </row>
    <row r="10" spans="1:18" ht="54" hidden="1" customHeight="1">
      <c r="A10" s="755"/>
      <c r="B10" s="763"/>
      <c r="C10" s="764" t="s">
        <v>969</v>
      </c>
      <c r="D10" s="764"/>
      <c r="E10" s="764"/>
      <c r="F10" s="764"/>
      <c r="G10" s="758" t="s">
        <v>177</v>
      </c>
      <c r="H10" s="765" t="s">
        <v>34</v>
      </c>
      <c r="I10" s="377"/>
      <c r="J10" s="521"/>
    </row>
    <row r="11" spans="1:18" ht="21" hidden="1" customHeight="1">
      <c r="A11" s="755"/>
      <c r="B11" s="763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58"/>
      <c r="H11" s="765"/>
      <c r="I11" s="377"/>
      <c r="J11" s="521"/>
    </row>
    <row r="12" spans="1:18" ht="17.25" customHeight="1">
      <c r="A12" s="64" t="s">
        <v>34</v>
      </c>
      <c r="B12" s="571" t="s">
        <v>15</v>
      </c>
      <c r="C12" s="736" t="s">
        <v>10</v>
      </c>
      <c r="D12" s="736"/>
      <c r="E12" s="736"/>
      <c r="F12" s="736"/>
      <c r="G12" s="736"/>
      <c r="H12" s="736"/>
      <c r="I12" s="736"/>
      <c r="J12" s="736"/>
      <c r="R12" s="40">
        <v>13</v>
      </c>
    </row>
    <row r="13" spans="1:18" ht="50.25" customHeight="1">
      <c r="A13" s="74">
        <v>2</v>
      </c>
      <c r="B13" s="66" t="s">
        <v>109</v>
      </c>
      <c r="C13" s="762" t="s">
        <v>1020</v>
      </c>
      <c r="D13" s="762"/>
      <c r="E13" s="762"/>
      <c r="F13" s="762"/>
      <c r="G13" s="74" t="s">
        <v>176</v>
      </c>
      <c r="H13" s="78">
        <f>2.5*100</f>
        <v>250</v>
      </c>
      <c r="I13" s="78"/>
      <c r="J13" s="662"/>
    </row>
    <row r="14" spans="1:18" ht="25.5" hidden="1" customHeight="1">
      <c r="A14" s="786"/>
      <c r="B14" s="787"/>
      <c r="C14" s="788" t="s">
        <v>974</v>
      </c>
      <c r="D14" s="788"/>
      <c r="E14" s="788"/>
      <c r="F14" s="788"/>
      <c r="G14" s="789" t="s">
        <v>920</v>
      </c>
      <c r="H14" s="790" t="s">
        <v>34</v>
      </c>
      <c r="I14" s="377"/>
      <c r="J14" s="521"/>
      <c r="M14" s="784"/>
      <c r="N14" s="784"/>
      <c r="O14" s="784"/>
      <c r="P14" s="784"/>
    </row>
    <row r="15" spans="1:18" ht="20.25" hidden="1" customHeight="1">
      <c r="A15" s="786"/>
      <c r="B15" s="787"/>
      <c r="C15" s="645" t="s">
        <v>713</v>
      </c>
      <c r="D15" s="652" t="e">
        <f>#REF!</f>
        <v>#REF!</v>
      </c>
      <c r="E15" s="290" t="s">
        <v>708</v>
      </c>
      <c r="F15" s="652" t="s">
        <v>718</v>
      </c>
      <c r="G15" s="789"/>
      <c r="H15" s="790"/>
      <c r="I15" s="377"/>
      <c r="J15" s="521"/>
    </row>
    <row r="16" spans="1:18" ht="32.25" customHeight="1">
      <c r="A16" s="21"/>
      <c r="B16" s="448" t="s">
        <v>111</v>
      </c>
      <c r="C16" s="737" t="s">
        <v>189</v>
      </c>
      <c r="D16" s="737"/>
      <c r="E16" s="737"/>
      <c r="F16" s="737"/>
      <c r="G16" s="737"/>
      <c r="H16" s="737"/>
      <c r="I16" s="737"/>
      <c r="J16" s="737"/>
    </row>
    <row r="17" spans="1:106" s="15" customFormat="1" ht="21" customHeight="1">
      <c r="A17" s="64" t="s">
        <v>34</v>
      </c>
      <c r="B17" s="571" t="s">
        <v>142</v>
      </c>
      <c r="C17" s="736" t="s">
        <v>147</v>
      </c>
      <c r="D17" s="736"/>
      <c r="E17" s="736"/>
      <c r="F17" s="736"/>
      <c r="G17" s="736"/>
      <c r="H17" s="736"/>
      <c r="I17" s="736"/>
      <c r="J17" s="736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</row>
    <row r="18" spans="1:106" s="15" customFormat="1" ht="37.5" customHeight="1">
      <c r="A18" s="74">
        <v>3</v>
      </c>
      <c r="B18" s="572" t="s">
        <v>143</v>
      </c>
      <c r="C18" s="768" t="s">
        <v>1046</v>
      </c>
      <c r="D18" s="768"/>
      <c r="E18" s="768"/>
      <c r="F18" s="768"/>
      <c r="G18" s="74" t="s">
        <v>179</v>
      </c>
      <c r="H18" s="78">
        <f>220*0.7</f>
        <v>154</v>
      </c>
      <c r="I18" s="78"/>
      <c r="J18" s="662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</row>
    <row r="19" spans="1:106" s="15" customFormat="1" ht="54" hidden="1" customHeight="1">
      <c r="A19" s="755"/>
      <c r="B19" s="766"/>
      <c r="C19" s="764" t="s">
        <v>978</v>
      </c>
      <c r="D19" s="764"/>
      <c r="E19" s="764"/>
      <c r="F19" s="764"/>
      <c r="G19" s="758" t="s">
        <v>178</v>
      </c>
      <c r="H19" s="767" t="s">
        <v>34</v>
      </c>
      <c r="I19" s="632"/>
      <c r="J19" s="66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18" hidden="1" customHeight="1">
      <c r="A20" s="755"/>
      <c r="B20" s="766"/>
      <c r="C20" s="672" t="s">
        <v>714</v>
      </c>
      <c r="D20" s="67" t="e">
        <f>#REF!</f>
        <v>#REF!</v>
      </c>
      <c r="E20" s="109" t="str">
        <f>G19</f>
        <v>m3</v>
      </c>
      <c r="F20" s="67" t="s">
        <v>716</v>
      </c>
      <c r="G20" s="758"/>
      <c r="H20" s="767"/>
      <c r="I20" s="632"/>
      <c r="J20" s="66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3" customFormat="1" ht="31.5" customHeight="1">
      <c r="A21" s="21"/>
      <c r="B21" s="448" t="s">
        <v>57</v>
      </c>
      <c r="C21" s="737" t="s">
        <v>181</v>
      </c>
      <c r="D21" s="737"/>
      <c r="E21" s="737"/>
      <c r="F21" s="737"/>
      <c r="G21" s="737"/>
      <c r="H21" s="737"/>
      <c r="I21" s="737"/>
      <c r="J21" s="737"/>
    </row>
    <row r="22" spans="1:106" s="1" customFormat="1" ht="18" customHeight="1">
      <c r="A22" s="64" t="s">
        <v>34</v>
      </c>
      <c r="B22" s="571" t="s">
        <v>98</v>
      </c>
      <c r="C22" s="736" t="s">
        <v>99</v>
      </c>
      <c r="D22" s="736"/>
      <c r="E22" s="736"/>
      <c r="F22" s="736"/>
      <c r="G22" s="736"/>
      <c r="H22" s="736"/>
      <c r="I22" s="736"/>
      <c r="J22" s="736"/>
    </row>
    <row r="23" spans="1:106" s="1" customFormat="1" ht="33" customHeight="1">
      <c r="A23" s="86">
        <v>4</v>
      </c>
      <c r="B23" s="431" t="s">
        <v>970</v>
      </c>
      <c r="C23" s="778" t="s">
        <v>1011</v>
      </c>
      <c r="D23" s="778"/>
      <c r="E23" s="778"/>
      <c r="F23" s="778"/>
      <c r="G23" s="86" t="s">
        <v>176</v>
      </c>
      <c r="H23" s="87">
        <f>100*3.2+120*1</f>
        <v>440</v>
      </c>
      <c r="I23" s="566"/>
      <c r="J23" s="662"/>
    </row>
    <row r="24" spans="1:106" s="1" customFormat="1" ht="33" customHeight="1">
      <c r="A24" s="64" t="s">
        <v>34</v>
      </c>
      <c r="B24" s="571" t="s">
        <v>114</v>
      </c>
      <c r="C24" s="736" t="s">
        <v>1024</v>
      </c>
      <c r="D24" s="736"/>
      <c r="E24" s="736"/>
      <c r="F24" s="736"/>
      <c r="G24" s="736"/>
      <c r="H24" s="736"/>
      <c r="I24" s="736"/>
      <c r="J24" s="736"/>
    </row>
    <row r="25" spans="1:106" s="1" customFormat="1" ht="33" customHeight="1">
      <c r="A25" s="86">
        <v>5</v>
      </c>
      <c r="B25" s="564" t="s">
        <v>162</v>
      </c>
      <c r="C25" s="778" t="s">
        <v>1023</v>
      </c>
      <c r="D25" s="778"/>
      <c r="E25" s="778"/>
      <c r="F25" s="778"/>
      <c r="G25" s="86" t="s">
        <v>176</v>
      </c>
      <c r="H25" s="87">
        <f>100*3.2+120*1</f>
        <v>440</v>
      </c>
      <c r="I25" s="566"/>
      <c r="J25" s="662"/>
    </row>
    <row r="26" spans="1:106" s="8" customFormat="1" ht="18" customHeight="1">
      <c r="A26" s="64" t="s">
        <v>34</v>
      </c>
      <c r="B26" s="571" t="s">
        <v>972</v>
      </c>
      <c r="C26" s="736" t="s">
        <v>20</v>
      </c>
      <c r="D26" s="736"/>
      <c r="E26" s="736"/>
      <c r="F26" s="736"/>
      <c r="G26" s="736"/>
      <c r="H26" s="736"/>
      <c r="I26" s="736"/>
      <c r="J26" s="736"/>
    </row>
    <row r="27" spans="1:106" s="8" customFormat="1" ht="47.25" customHeight="1">
      <c r="A27" s="86">
        <v>6</v>
      </c>
      <c r="B27" s="623" t="s">
        <v>1028</v>
      </c>
      <c r="C27" s="769" t="s">
        <v>1036</v>
      </c>
      <c r="D27" s="769"/>
      <c r="E27" s="769"/>
      <c r="F27" s="769"/>
      <c r="G27" s="86" t="s">
        <v>176</v>
      </c>
      <c r="H27" s="87">
        <f>220*3.2</f>
        <v>704</v>
      </c>
      <c r="I27" s="566"/>
      <c r="J27" s="662"/>
    </row>
    <row r="28" spans="1:106" s="8" customFormat="1" ht="30" customHeight="1">
      <c r="A28" s="86">
        <v>7</v>
      </c>
      <c r="B28" s="623" t="s">
        <v>984</v>
      </c>
      <c r="C28" s="769" t="s">
        <v>485</v>
      </c>
      <c r="D28" s="769"/>
      <c r="E28" s="769"/>
      <c r="F28" s="769"/>
      <c r="G28" s="86" t="s">
        <v>176</v>
      </c>
      <c r="H28" s="87">
        <f>100*3.2+120*1</f>
        <v>440</v>
      </c>
      <c r="I28" s="566"/>
      <c r="J28" s="662"/>
    </row>
    <row r="29" spans="1:106" s="8" customFormat="1" ht="33" customHeight="1">
      <c r="A29" s="524"/>
      <c r="B29" s="524" t="s">
        <v>59</v>
      </c>
      <c r="C29" s="770" t="s">
        <v>182</v>
      </c>
      <c r="D29" s="770"/>
      <c r="E29" s="770"/>
      <c r="F29" s="770"/>
      <c r="G29" s="770"/>
      <c r="H29" s="770"/>
      <c r="I29" s="770"/>
      <c r="J29" s="770"/>
      <c r="L29" s="8" t="s">
        <v>1081</v>
      </c>
    </row>
    <row r="30" spans="1:106" s="16" customFormat="1" ht="25.5" hidden="1" customHeight="1">
      <c r="A30" s="64" t="s">
        <v>34</v>
      </c>
      <c r="B30" s="276" t="s">
        <v>116</v>
      </c>
      <c r="C30" s="741" t="s">
        <v>776</v>
      </c>
      <c r="D30" s="741"/>
      <c r="E30" s="741"/>
      <c r="F30" s="741"/>
      <c r="G30" s="741" t="s">
        <v>8</v>
      </c>
      <c r="H30" s="741"/>
      <c r="I30" s="673"/>
      <c r="J30" s="66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</row>
    <row r="31" spans="1:106" s="204" customFormat="1" ht="29.25" hidden="1" customHeight="1">
      <c r="A31" s="86">
        <v>27</v>
      </c>
      <c r="B31" s="650" t="s">
        <v>116</v>
      </c>
      <c r="C31" s="771" t="s">
        <v>820</v>
      </c>
      <c r="D31" s="771"/>
      <c r="E31" s="771"/>
      <c r="F31" s="771"/>
      <c r="G31" s="289" t="s">
        <v>919</v>
      </c>
      <c r="H31" s="671" t="e">
        <f>SUM(#REF!)</f>
        <v>#REF!</v>
      </c>
      <c r="I31" s="674"/>
      <c r="J31" s="66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</row>
    <row r="32" spans="1:106" s="204" customFormat="1" ht="29.25" hidden="1" customHeight="1">
      <c r="A32" s="772"/>
      <c r="B32" s="773"/>
      <c r="C32" s="774" t="s">
        <v>778</v>
      </c>
      <c r="D32" s="774"/>
      <c r="E32" s="774"/>
      <c r="F32" s="774"/>
      <c r="G32" s="775" t="s">
        <v>920</v>
      </c>
      <c r="H32" s="776" t="s">
        <v>34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0.25" hidden="1" customHeight="1">
      <c r="A33" s="772"/>
      <c r="B33" s="773"/>
      <c r="C33" s="645" t="s">
        <v>713</v>
      </c>
      <c r="D33" s="652" t="e">
        <f>#REF!</f>
        <v>#REF!</v>
      </c>
      <c r="E33" s="290" t="str">
        <f>G32</f>
        <v>m2</v>
      </c>
      <c r="F33" s="652" t="s">
        <v>716</v>
      </c>
      <c r="G33" s="775"/>
      <c r="H33" s="776"/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276" t="s">
        <v>34</v>
      </c>
      <c r="B34" s="276" t="s">
        <v>845</v>
      </c>
      <c r="C34" s="741" t="s">
        <v>847</v>
      </c>
      <c r="D34" s="741" t="s">
        <v>8</v>
      </c>
      <c r="E34" s="741"/>
      <c r="F34" s="741"/>
      <c r="G34" s="655" t="s">
        <v>8</v>
      </c>
      <c r="H34" s="655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36" hidden="1" customHeight="1">
      <c r="A35" s="593">
        <v>44</v>
      </c>
      <c r="B35" s="656" t="s">
        <v>846</v>
      </c>
      <c r="C35" s="771" t="s">
        <v>915</v>
      </c>
      <c r="D35" s="771"/>
      <c r="E35" s="771"/>
      <c r="F35" s="771"/>
      <c r="G35" s="289" t="s">
        <v>919</v>
      </c>
      <c r="H35" s="671" t="e">
        <f>SUM(#REF!)</f>
        <v>#REF!</v>
      </c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45.75" hidden="1" customHeight="1">
      <c r="A36" s="775"/>
      <c r="B36" s="773"/>
      <c r="C36" s="774" t="s">
        <v>940</v>
      </c>
      <c r="D36" s="774"/>
      <c r="E36" s="774"/>
      <c r="F36" s="774"/>
      <c r="G36" s="775" t="s">
        <v>920</v>
      </c>
      <c r="H36" s="776" t="s">
        <v>34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24.75" hidden="1" customHeight="1">
      <c r="A37" s="775"/>
      <c r="B37" s="773"/>
      <c r="C37" s="645" t="s">
        <v>713</v>
      </c>
      <c r="D37" s="652" t="e">
        <f>#REF!</f>
        <v>#REF!</v>
      </c>
      <c r="E37" s="290" t="str">
        <f>G36</f>
        <v>m2</v>
      </c>
      <c r="F37" s="652" t="s">
        <v>811</v>
      </c>
      <c r="G37" s="775"/>
      <c r="H37" s="776"/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34.5" hidden="1" customHeight="1">
      <c r="A38" s="64" t="s">
        <v>34</v>
      </c>
      <c r="B38" s="276" t="s">
        <v>848</v>
      </c>
      <c r="C38" s="741" t="s">
        <v>849</v>
      </c>
      <c r="D38" s="741" t="s">
        <v>8</v>
      </c>
      <c r="E38" s="741"/>
      <c r="F38" s="741"/>
      <c r="G38" s="655" t="s">
        <v>8</v>
      </c>
      <c r="H38" s="655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20.25" hidden="1" customHeight="1">
      <c r="A39" s="458">
        <v>29</v>
      </c>
      <c r="B39" s="656" t="s">
        <v>846</v>
      </c>
      <c r="C39" s="771" t="s">
        <v>844</v>
      </c>
      <c r="D39" s="771"/>
      <c r="E39" s="771"/>
      <c r="F39" s="771"/>
      <c r="G39" s="289" t="s">
        <v>919</v>
      </c>
      <c r="H39" s="671" t="e">
        <f>SUM(#REF!)</f>
        <v>#REF!</v>
      </c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47.25" hidden="1" customHeight="1">
      <c r="A40" s="772"/>
      <c r="B40" s="773"/>
      <c r="C40" s="774" t="s">
        <v>843</v>
      </c>
      <c r="D40" s="774"/>
      <c r="E40" s="774"/>
      <c r="F40" s="774"/>
      <c r="G40" s="775" t="s">
        <v>920</v>
      </c>
      <c r="H40" s="776" t="s">
        <v>34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20.25" hidden="1" customHeight="1">
      <c r="A41" s="772"/>
      <c r="B41" s="773"/>
      <c r="C41" s="645" t="s">
        <v>713</v>
      </c>
      <c r="D41" s="652" t="e">
        <f>#REF!</f>
        <v>#REF!</v>
      </c>
      <c r="E41" s="290" t="str">
        <f>G40</f>
        <v>m2</v>
      </c>
      <c r="F41" s="652" t="s">
        <v>811</v>
      </c>
      <c r="G41" s="775"/>
      <c r="H41" s="776"/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458">
        <v>30</v>
      </c>
      <c r="B42" s="656" t="s">
        <v>851</v>
      </c>
      <c r="C42" s="771" t="s">
        <v>852</v>
      </c>
      <c r="D42" s="771"/>
      <c r="E42" s="771"/>
      <c r="F42" s="771"/>
      <c r="G42" s="289" t="s">
        <v>919</v>
      </c>
      <c r="H42" s="671" t="e">
        <f>SUM(#REF!)</f>
        <v>#REF!</v>
      </c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45.75" hidden="1" customHeight="1">
      <c r="A43" s="772"/>
      <c r="B43" s="773"/>
      <c r="C43" s="774" t="s">
        <v>853</v>
      </c>
      <c r="D43" s="774"/>
      <c r="E43" s="774"/>
      <c r="F43" s="774"/>
      <c r="G43" s="775" t="s">
        <v>920</v>
      </c>
      <c r="H43" s="776" t="s">
        <v>34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20.25" hidden="1" customHeight="1">
      <c r="A44" s="772"/>
      <c r="B44" s="773"/>
      <c r="C44" s="645" t="s">
        <v>713</v>
      </c>
      <c r="D44" s="652" t="e">
        <f>#REF!</f>
        <v>#REF!</v>
      </c>
      <c r="E44" s="290" t="str">
        <f>G43</f>
        <v>m2</v>
      </c>
      <c r="F44" s="652" t="s">
        <v>811</v>
      </c>
      <c r="G44" s="775"/>
      <c r="H44" s="776"/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customHeight="1">
      <c r="A45" s="571"/>
      <c r="B45" s="64" t="s">
        <v>116</v>
      </c>
      <c r="C45" s="736" t="s">
        <v>776</v>
      </c>
      <c r="D45" s="736"/>
      <c r="E45" s="736"/>
      <c r="F45" s="736"/>
      <c r="G45" s="736"/>
      <c r="H45" s="736"/>
      <c r="I45" s="736"/>
      <c r="J45" s="736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36.75" customHeight="1">
      <c r="A46" s="679" t="s">
        <v>1022</v>
      </c>
      <c r="B46" s="564" t="s">
        <v>213</v>
      </c>
      <c r="C46" s="769" t="s">
        <v>1021</v>
      </c>
      <c r="D46" s="769"/>
      <c r="E46" s="769"/>
      <c r="F46" s="769"/>
      <c r="G46" s="458" t="s">
        <v>176</v>
      </c>
      <c r="H46" s="566">
        <v>54</v>
      </c>
      <c r="I46" s="389"/>
      <c r="J46" s="662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22.5" customHeight="1">
      <c r="A47" s="64" t="s">
        <v>34</v>
      </c>
      <c r="B47" s="64" t="s">
        <v>21</v>
      </c>
      <c r="C47" s="736" t="s">
        <v>1078</v>
      </c>
      <c r="D47" s="736"/>
      <c r="E47" s="736"/>
      <c r="F47" s="736"/>
      <c r="G47" s="736"/>
      <c r="H47" s="736"/>
      <c r="I47" s="736"/>
      <c r="J47" s="736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8" s="204" customFormat="1" ht="30.75" hidden="1" customHeight="1">
      <c r="A48" s="289">
        <v>45</v>
      </c>
      <c r="B48" s="656" t="s">
        <v>816</v>
      </c>
      <c r="C48" s="771" t="s">
        <v>935</v>
      </c>
      <c r="D48" s="771"/>
      <c r="E48" s="771"/>
      <c r="F48" s="771"/>
      <c r="G48" s="289" t="s">
        <v>924</v>
      </c>
      <c r="H48" s="671" t="e">
        <f>SUM(#REF!)</f>
        <v>#REF!</v>
      </c>
      <c r="I48" s="674"/>
      <c r="J48" s="665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6.75" hidden="1" customHeight="1">
      <c r="A49" s="775"/>
      <c r="B49" s="777"/>
      <c r="C49" s="774" t="s">
        <v>936</v>
      </c>
      <c r="D49" s="774"/>
      <c r="E49" s="774"/>
      <c r="F49" s="774"/>
      <c r="G49" s="775" t="s">
        <v>924</v>
      </c>
      <c r="H49" s="776" t="s">
        <v>34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0" hidden="1" customHeight="1">
      <c r="A50" s="775"/>
      <c r="B50" s="777"/>
      <c r="C50" s="645" t="s">
        <v>713</v>
      </c>
      <c r="D50" s="652" t="e">
        <f>#REF!</f>
        <v>#REF!</v>
      </c>
      <c r="E50" s="290" t="s">
        <v>924</v>
      </c>
      <c r="F50" s="652" t="s">
        <v>716</v>
      </c>
      <c r="G50" s="775"/>
      <c r="H50" s="776"/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43.5" customHeight="1">
      <c r="A51" s="86">
        <v>9</v>
      </c>
      <c r="B51" s="564" t="s">
        <v>1008</v>
      </c>
      <c r="C51" s="778" t="s">
        <v>1079</v>
      </c>
      <c r="D51" s="778"/>
      <c r="E51" s="778"/>
      <c r="F51" s="778"/>
      <c r="G51" s="86" t="s">
        <v>176</v>
      </c>
      <c r="H51" s="77">
        <f>220*3*1.05</f>
        <v>693</v>
      </c>
      <c r="I51" s="77"/>
      <c r="J51" s="662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41" customFormat="1" ht="35.25" customHeight="1">
      <c r="A52" s="21"/>
      <c r="B52" s="448" t="s">
        <v>60</v>
      </c>
      <c r="C52" s="737" t="s">
        <v>183</v>
      </c>
      <c r="D52" s="737"/>
      <c r="E52" s="737"/>
      <c r="F52" s="737"/>
      <c r="G52" s="737"/>
      <c r="H52" s="737"/>
      <c r="I52" s="737"/>
      <c r="J52" s="73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</row>
    <row r="53" spans="1:68" s="8" customFormat="1" ht="19.5" customHeight="1">
      <c r="A53" s="64" t="s">
        <v>34</v>
      </c>
      <c r="B53" s="571" t="s">
        <v>23</v>
      </c>
      <c r="C53" s="736" t="s">
        <v>167</v>
      </c>
      <c r="D53" s="736"/>
      <c r="E53" s="736"/>
      <c r="F53" s="736"/>
      <c r="G53" s="736" t="s">
        <v>8</v>
      </c>
      <c r="H53" s="736"/>
      <c r="I53" s="736"/>
      <c r="J53" s="736"/>
    </row>
    <row r="54" spans="1:68" s="11" customFormat="1" ht="28.5" customHeight="1">
      <c r="A54" s="86">
        <v>10</v>
      </c>
      <c r="B54" s="432" t="s">
        <v>0</v>
      </c>
      <c r="C54" s="778" t="s">
        <v>74</v>
      </c>
      <c r="D54" s="778"/>
      <c r="E54" s="778"/>
      <c r="F54" s="778"/>
      <c r="G54" s="86" t="s">
        <v>176</v>
      </c>
      <c r="H54" s="87">
        <f>H9/2</f>
        <v>110</v>
      </c>
      <c r="I54" s="566"/>
      <c r="J54" s="662"/>
    </row>
    <row r="55" spans="1:68" s="8" customFormat="1" ht="38.25" hidden="1" customHeight="1">
      <c r="A55" s="779"/>
      <c r="B55" s="780"/>
      <c r="C55" s="781" t="s">
        <v>983</v>
      </c>
      <c r="D55" s="781"/>
      <c r="E55" s="781"/>
      <c r="F55" s="781"/>
      <c r="G55" s="772" t="s">
        <v>177</v>
      </c>
      <c r="H55" s="782" t="s">
        <v>34</v>
      </c>
      <c r="I55" s="106"/>
      <c r="J55" s="662" t="e">
        <f t="shared" ref="J55:J56" si="0">H55*I55</f>
        <v>#VALUE!</v>
      </c>
    </row>
    <row r="56" spans="1:68" s="8" customFormat="1" ht="16.5" hidden="1" customHeight="1">
      <c r="A56" s="779"/>
      <c r="B56" s="780"/>
      <c r="C56" s="672" t="s">
        <v>713</v>
      </c>
      <c r="D56" s="67" t="e">
        <f>#REF!</f>
        <v>#REF!</v>
      </c>
      <c r="E56" s="109" t="str">
        <f>G55</f>
        <v>m2</v>
      </c>
      <c r="F56" s="67" t="s">
        <v>715</v>
      </c>
      <c r="G56" s="772"/>
      <c r="H56" s="782"/>
      <c r="I56" s="106"/>
      <c r="J56" s="662">
        <f t="shared" si="0"/>
        <v>0</v>
      </c>
    </row>
    <row r="57" spans="1:68" s="8" customFormat="1" ht="19.5" customHeight="1">
      <c r="A57" s="64" t="s">
        <v>34</v>
      </c>
      <c r="B57" s="450" t="s">
        <v>976</v>
      </c>
      <c r="C57" s="736" t="s">
        <v>975</v>
      </c>
      <c r="D57" s="736"/>
      <c r="E57" s="736"/>
      <c r="F57" s="736"/>
      <c r="G57" s="736" t="s">
        <v>8</v>
      </c>
      <c r="H57" s="736"/>
      <c r="I57" s="736"/>
      <c r="J57" s="736"/>
    </row>
    <row r="58" spans="1:68" s="11" customFormat="1" ht="29.25" customHeight="1">
      <c r="A58" s="86">
        <v>11</v>
      </c>
      <c r="B58" s="432" t="s">
        <v>977</v>
      </c>
      <c r="C58" s="778" t="s">
        <v>1017</v>
      </c>
      <c r="D58" s="778"/>
      <c r="E58" s="778"/>
      <c r="F58" s="778"/>
      <c r="G58" s="86" t="s">
        <v>176</v>
      </c>
      <c r="H58" s="87">
        <f>220*2*0.5</f>
        <v>220</v>
      </c>
      <c r="I58" s="77"/>
      <c r="J58" s="662"/>
    </row>
    <row r="59" spans="1:68" ht="21" customHeight="1">
      <c r="A59" s="783" t="s">
        <v>1014</v>
      </c>
      <c r="B59" s="783"/>
      <c r="C59" s="783"/>
      <c r="D59" s="783"/>
      <c r="E59" s="783"/>
      <c r="F59" s="783"/>
      <c r="G59" s="783"/>
      <c r="H59" s="783"/>
      <c r="I59" s="783"/>
      <c r="J59" s="592"/>
    </row>
    <row r="60" spans="1:68" ht="21" customHeight="1">
      <c r="A60" s="783" t="s">
        <v>76</v>
      </c>
      <c r="B60" s="783"/>
      <c r="C60" s="783"/>
      <c r="D60" s="783"/>
      <c r="E60" s="783"/>
      <c r="F60" s="783"/>
      <c r="G60" s="783"/>
      <c r="H60" s="783"/>
      <c r="I60" s="783"/>
      <c r="J60" s="592"/>
    </row>
    <row r="61" spans="1:68" ht="21" customHeight="1">
      <c r="A61" s="783" t="s">
        <v>90</v>
      </c>
      <c r="B61" s="783"/>
      <c r="C61" s="783"/>
      <c r="D61" s="783"/>
      <c r="E61" s="783"/>
      <c r="F61" s="783"/>
      <c r="G61" s="783"/>
      <c r="H61" s="783"/>
      <c r="I61" s="783"/>
      <c r="J61" s="592"/>
    </row>
    <row r="62" spans="1:68" ht="21" customHeight="1">
      <c r="A62" s="553"/>
      <c r="B62" s="553"/>
      <c r="C62" s="554"/>
      <c r="D62" s="556"/>
      <c r="E62" s="555"/>
      <c r="F62" s="555"/>
      <c r="G62" s="500"/>
      <c r="H62" s="547"/>
    </row>
    <row r="63" spans="1:68" ht="12.75" customHeight="1">
      <c r="B63" s="494"/>
      <c r="C63" s="507"/>
      <c r="D63" s="504"/>
      <c r="E63" s="494"/>
      <c r="F63" s="526"/>
      <c r="G63" s="526"/>
    </row>
    <row r="64" spans="1:68" ht="12.75" customHeight="1">
      <c r="B64" s="494"/>
      <c r="C64" s="507"/>
      <c r="D64" s="504"/>
      <c r="E64" s="494"/>
      <c r="F64" s="526"/>
      <c r="G64" s="526"/>
    </row>
    <row r="65" spans="1:106" s="18" customFormat="1" ht="12.75" customHeight="1">
      <c r="A65" s="17"/>
      <c r="B65" s="494"/>
      <c r="C65" s="507"/>
      <c r="D65" s="504"/>
      <c r="E65" s="494"/>
      <c r="F65" s="526"/>
      <c r="G65" s="526"/>
      <c r="I65" s="40"/>
      <c r="J65" s="488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</row>
    <row r="66" spans="1:106" s="18" customFormat="1" ht="12.75" customHeight="1">
      <c r="A66" s="17"/>
      <c r="B66" s="494"/>
      <c r="C66" s="507"/>
      <c r="D66" s="504"/>
      <c r="E66" s="494"/>
      <c r="F66" s="526"/>
      <c r="G66" s="526"/>
      <c r="I66" s="40"/>
      <c r="J66" s="488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</row>
  </sheetData>
  <mergeCells count="92">
    <mergeCell ref="A6:A7"/>
    <mergeCell ref="B6:B7"/>
    <mergeCell ref="C6:F6"/>
    <mergeCell ref="G6:G7"/>
    <mergeCell ref="H6:H7"/>
    <mergeCell ref="A1:J1"/>
    <mergeCell ref="A2:J2"/>
    <mergeCell ref="C3:F3"/>
    <mergeCell ref="B4:J4"/>
    <mergeCell ref="C5:J5"/>
    <mergeCell ref="C8:J8"/>
    <mergeCell ref="C9:F9"/>
    <mergeCell ref="A10:A11"/>
    <mergeCell ref="B10:B11"/>
    <mergeCell ref="C10:F10"/>
    <mergeCell ref="G10:G11"/>
    <mergeCell ref="H10:H11"/>
    <mergeCell ref="C12:J12"/>
    <mergeCell ref="C13:F13"/>
    <mergeCell ref="A14:A15"/>
    <mergeCell ref="B14:B15"/>
    <mergeCell ref="C14:F14"/>
    <mergeCell ref="G14:G15"/>
    <mergeCell ref="H14:H15"/>
    <mergeCell ref="A19:A20"/>
    <mergeCell ref="B19:B20"/>
    <mergeCell ref="C19:F19"/>
    <mergeCell ref="G19:G20"/>
    <mergeCell ref="H19:H20"/>
    <mergeCell ref="C26:J26"/>
    <mergeCell ref="M14:P14"/>
    <mergeCell ref="C16:J16"/>
    <mergeCell ref="C17:J17"/>
    <mergeCell ref="C18:F18"/>
    <mergeCell ref="C21:J21"/>
    <mergeCell ref="C22:J22"/>
    <mergeCell ref="C23:F23"/>
    <mergeCell ref="C24:J24"/>
    <mergeCell ref="C25:F25"/>
    <mergeCell ref="A32:A33"/>
    <mergeCell ref="B32:B33"/>
    <mergeCell ref="C32:F32"/>
    <mergeCell ref="G32:G33"/>
    <mergeCell ref="H32:H33"/>
    <mergeCell ref="C27:F27"/>
    <mergeCell ref="C28:F28"/>
    <mergeCell ref="C29:J29"/>
    <mergeCell ref="C30:H30"/>
    <mergeCell ref="C31:F31"/>
    <mergeCell ref="C34:F34"/>
    <mergeCell ref="C35:F35"/>
    <mergeCell ref="A36:A37"/>
    <mergeCell ref="B36:B37"/>
    <mergeCell ref="C36:F36"/>
    <mergeCell ref="H43:H44"/>
    <mergeCell ref="H36:H37"/>
    <mergeCell ref="C38:F38"/>
    <mergeCell ref="C39:F39"/>
    <mergeCell ref="A40:A41"/>
    <mergeCell ref="B40:B41"/>
    <mergeCell ref="C40:F40"/>
    <mergeCell ref="G40:G41"/>
    <mergeCell ref="H40:H41"/>
    <mergeCell ref="G36:G37"/>
    <mergeCell ref="C42:F42"/>
    <mergeCell ref="A43:A44"/>
    <mergeCell ref="B43:B44"/>
    <mergeCell ref="C43:F43"/>
    <mergeCell ref="G43:G44"/>
    <mergeCell ref="C45:J45"/>
    <mergeCell ref="C46:F46"/>
    <mergeCell ref="C47:J47"/>
    <mergeCell ref="C48:F48"/>
    <mergeCell ref="A49:A50"/>
    <mergeCell ref="B49:B50"/>
    <mergeCell ref="C49:F49"/>
    <mergeCell ref="G49:G50"/>
    <mergeCell ref="H49:H50"/>
    <mergeCell ref="C51:F51"/>
    <mergeCell ref="C52:J52"/>
    <mergeCell ref="C53:J53"/>
    <mergeCell ref="C54:F54"/>
    <mergeCell ref="A55:A56"/>
    <mergeCell ref="B55:B56"/>
    <mergeCell ref="C55:F55"/>
    <mergeCell ref="G55:G56"/>
    <mergeCell ref="H55:H56"/>
    <mergeCell ref="C57:J57"/>
    <mergeCell ref="C58:F58"/>
    <mergeCell ref="A59:I59"/>
    <mergeCell ref="A60:I60"/>
    <mergeCell ref="A61:I61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7"/>
  <sheetViews>
    <sheetView view="pageBreakPreview" zoomScaleNormal="100" zoomScaleSheetLayoutView="100" workbookViewId="0">
      <selection activeCell="A2" sqref="A2:J2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44" t="s">
        <v>1084</v>
      </c>
      <c r="B1" s="744"/>
      <c r="C1" s="744"/>
      <c r="D1" s="744"/>
      <c r="E1" s="744"/>
      <c r="F1" s="744"/>
      <c r="G1" s="744"/>
      <c r="H1" s="744"/>
      <c r="I1" s="744"/>
      <c r="J1" s="744"/>
    </row>
    <row r="2" spans="1:18" s="4" customFormat="1" ht="39" customHeight="1">
      <c r="A2" s="760" t="s">
        <v>1050</v>
      </c>
      <c r="B2" s="760"/>
      <c r="C2" s="760"/>
      <c r="D2" s="760"/>
      <c r="E2" s="760"/>
      <c r="F2" s="760"/>
      <c r="G2" s="760"/>
      <c r="H2" s="760"/>
      <c r="I2" s="760"/>
      <c r="J2" s="760"/>
    </row>
    <row r="3" spans="1:18" ht="45" customHeight="1">
      <c r="A3" s="74" t="s">
        <v>3</v>
      </c>
      <c r="B3" s="449" t="s">
        <v>199</v>
      </c>
      <c r="C3" s="755" t="s">
        <v>4</v>
      </c>
      <c r="D3" s="755"/>
      <c r="E3" s="755"/>
      <c r="F3" s="755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61" t="s">
        <v>1006</v>
      </c>
      <c r="C4" s="761"/>
      <c r="D4" s="761"/>
      <c r="E4" s="761"/>
      <c r="F4" s="761"/>
      <c r="G4" s="761"/>
      <c r="H4" s="761"/>
      <c r="I4" s="761"/>
      <c r="J4" s="761"/>
      <c r="M4" s="40" t="s">
        <v>1032</v>
      </c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  <c r="M5" s="1">
        <v>147</v>
      </c>
    </row>
    <row r="6" spans="1:18" ht="44.25" hidden="1" customHeight="1">
      <c r="A6" s="755"/>
      <c r="B6" s="756"/>
      <c r="C6" s="757" t="s">
        <v>733</v>
      </c>
      <c r="D6" s="757"/>
      <c r="E6" s="757"/>
      <c r="F6" s="757"/>
      <c r="G6" s="758" t="s">
        <v>177</v>
      </c>
      <c r="H6" s="759" t="s">
        <v>34</v>
      </c>
      <c r="I6" s="377"/>
      <c r="J6" s="521"/>
    </row>
    <row r="7" spans="1:18" ht="21.75" hidden="1" customHeight="1">
      <c r="A7" s="755"/>
      <c r="B7" s="756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58"/>
      <c r="H7" s="759"/>
      <c r="I7" s="377"/>
      <c r="J7" s="521"/>
    </row>
    <row r="8" spans="1:18" ht="18" customHeight="1">
      <c r="A8" s="64" t="s">
        <v>34</v>
      </c>
      <c r="B8" s="571" t="s">
        <v>14</v>
      </c>
      <c r="C8" s="736" t="s">
        <v>108</v>
      </c>
      <c r="D8" s="736"/>
      <c r="E8" s="736"/>
      <c r="F8" s="736"/>
      <c r="G8" s="736"/>
      <c r="H8" s="736"/>
      <c r="I8" s="736"/>
      <c r="J8" s="736"/>
    </row>
    <row r="9" spans="1:18" s="14" customFormat="1" ht="31.5" customHeight="1">
      <c r="A9" s="74">
        <v>1</v>
      </c>
      <c r="B9" s="449" t="s">
        <v>952</v>
      </c>
      <c r="C9" s="762" t="s">
        <v>1018</v>
      </c>
      <c r="D9" s="762"/>
      <c r="E9" s="762"/>
      <c r="F9" s="762"/>
      <c r="G9" s="74" t="s">
        <v>176</v>
      </c>
      <c r="H9" s="78">
        <f>M5*1</f>
        <v>147</v>
      </c>
      <c r="I9" s="78"/>
      <c r="J9" s="662"/>
    </row>
    <row r="10" spans="1:18" ht="54" hidden="1" customHeight="1">
      <c r="A10" s="755"/>
      <c r="B10" s="763"/>
      <c r="C10" s="764" t="s">
        <v>969</v>
      </c>
      <c r="D10" s="764"/>
      <c r="E10" s="764"/>
      <c r="F10" s="764"/>
      <c r="G10" s="758" t="s">
        <v>177</v>
      </c>
      <c r="H10" s="765" t="s">
        <v>34</v>
      </c>
      <c r="I10" s="377"/>
      <c r="J10" s="521"/>
    </row>
    <row r="11" spans="1:18" ht="21" hidden="1" customHeight="1">
      <c r="A11" s="755"/>
      <c r="B11" s="763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58"/>
      <c r="H11" s="765"/>
      <c r="I11" s="377"/>
      <c r="J11" s="521"/>
    </row>
    <row r="12" spans="1:18" ht="17.25" customHeight="1">
      <c r="A12" s="64" t="s">
        <v>34</v>
      </c>
      <c r="B12" s="571" t="s">
        <v>15</v>
      </c>
      <c r="C12" s="736" t="s">
        <v>10</v>
      </c>
      <c r="D12" s="736"/>
      <c r="E12" s="736"/>
      <c r="F12" s="736"/>
      <c r="G12" s="736"/>
      <c r="H12" s="736"/>
      <c r="I12" s="736"/>
      <c r="J12" s="736"/>
      <c r="R12" s="40">
        <v>13</v>
      </c>
    </row>
    <row r="13" spans="1:18" ht="50.25" customHeight="1">
      <c r="A13" s="74">
        <v>2</v>
      </c>
      <c r="B13" s="66" t="s">
        <v>109</v>
      </c>
      <c r="C13" s="762" t="s">
        <v>1020</v>
      </c>
      <c r="D13" s="762"/>
      <c r="E13" s="762"/>
      <c r="F13" s="762"/>
      <c r="G13" s="74" t="s">
        <v>176</v>
      </c>
      <c r="H13" s="78">
        <f>2.2*M5</f>
        <v>323.39999999999998</v>
      </c>
      <c r="I13" s="78"/>
      <c r="J13" s="662"/>
    </row>
    <row r="14" spans="1:18" ht="25.5" hidden="1" customHeight="1">
      <c r="A14" s="786"/>
      <c r="B14" s="787"/>
      <c r="C14" s="788" t="s">
        <v>974</v>
      </c>
      <c r="D14" s="788"/>
      <c r="E14" s="788"/>
      <c r="F14" s="788"/>
      <c r="G14" s="789" t="s">
        <v>920</v>
      </c>
      <c r="H14" s="790" t="s">
        <v>34</v>
      </c>
      <c r="I14" s="377"/>
      <c r="J14" s="521"/>
      <c r="M14" s="784"/>
      <c r="N14" s="784"/>
      <c r="O14" s="784"/>
      <c r="P14" s="784"/>
    </row>
    <row r="15" spans="1:18" ht="20.25" hidden="1" customHeight="1">
      <c r="A15" s="786"/>
      <c r="B15" s="787"/>
      <c r="C15" s="645" t="s">
        <v>713</v>
      </c>
      <c r="D15" s="652" t="e">
        <f>#REF!</f>
        <v>#REF!</v>
      </c>
      <c r="E15" s="290" t="s">
        <v>708</v>
      </c>
      <c r="F15" s="652" t="s">
        <v>718</v>
      </c>
      <c r="G15" s="789"/>
      <c r="H15" s="790"/>
      <c r="I15" s="377"/>
      <c r="J15" s="521"/>
    </row>
    <row r="16" spans="1:18" ht="36.75" customHeight="1">
      <c r="A16" s="642">
        <v>3</v>
      </c>
      <c r="B16" s="641" t="s">
        <v>735</v>
      </c>
      <c r="C16" s="785" t="s">
        <v>1051</v>
      </c>
      <c r="D16" s="785"/>
      <c r="E16" s="785"/>
      <c r="F16" s="785"/>
      <c r="G16" s="74" t="s">
        <v>176</v>
      </c>
      <c r="H16" s="78">
        <v>48</v>
      </c>
      <c r="I16" s="78"/>
      <c r="J16" s="662"/>
    </row>
    <row r="17" spans="1:106" ht="36.75" customHeight="1">
      <c r="A17" s="642">
        <v>4</v>
      </c>
      <c r="B17" s="641" t="s">
        <v>1052</v>
      </c>
      <c r="C17" s="785" t="s">
        <v>1053</v>
      </c>
      <c r="D17" s="785"/>
      <c r="E17" s="785"/>
      <c r="F17" s="785"/>
      <c r="G17" s="74" t="s">
        <v>176</v>
      </c>
      <c r="H17" s="78">
        <v>100</v>
      </c>
      <c r="I17" s="78"/>
      <c r="J17" s="662"/>
    </row>
    <row r="18" spans="1:106" ht="32.25" customHeight="1">
      <c r="A18" s="21"/>
      <c r="B18" s="448" t="s">
        <v>111</v>
      </c>
      <c r="C18" s="737" t="s">
        <v>189</v>
      </c>
      <c r="D18" s="737"/>
      <c r="E18" s="737"/>
      <c r="F18" s="737"/>
      <c r="G18" s="737"/>
      <c r="H18" s="737"/>
      <c r="I18" s="737"/>
      <c r="J18" s="737"/>
    </row>
    <row r="19" spans="1:106" s="15" customFormat="1" ht="21" customHeight="1">
      <c r="A19" s="64" t="s">
        <v>34</v>
      </c>
      <c r="B19" s="571" t="s">
        <v>142</v>
      </c>
      <c r="C19" s="736" t="s">
        <v>147</v>
      </c>
      <c r="D19" s="736"/>
      <c r="E19" s="736"/>
      <c r="F19" s="736"/>
      <c r="G19" s="736"/>
      <c r="H19" s="736"/>
      <c r="I19" s="736"/>
      <c r="J19" s="73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37.5" customHeight="1">
      <c r="A20" s="74">
        <v>5</v>
      </c>
      <c r="B20" s="572" t="s">
        <v>143</v>
      </c>
      <c r="C20" s="768" t="s">
        <v>1046</v>
      </c>
      <c r="D20" s="768"/>
      <c r="E20" s="768"/>
      <c r="F20" s="768"/>
      <c r="G20" s="74" t="s">
        <v>179</v>
      </c>
      <c r="H20" s="78">
        <f>M5*0.7</f>
        <v>102.9</v>
      </c>
      <c r="I20" s="78"/>
      <c r="J20" s="662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15" customFormat="1" ht="54" hidden="1" customHeight="1">
      <c r="A21" s="755"/>
      <c r="B21" s="766"/>
      <c r="C21" s="764" t="s">
        <v>978</v>
      </c>
      <c r="D21" s="764"/>
      <c r="E21" s="764"/>
      <c r="F21" s="764"/>
      <c r="G21" s="758" t="s">
        <v>178</v>
      </c>
      <c r="H21" s="767" t="s">
        <v>34</v>
      </c>
      <c r="I21" s="632"/>
      <c r="J21" s="66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</row>
    <row r="22" spans="1:106" s="15" customFormat="1" ht="18" hidden="1" customHeight="1">
      <c r="A22" s="755"/>
      <c r="B22" s="766"/>
      <c r="C22" s="672" t="s">
        <v>714</v>
      </c>
      <c r="D22" s="67" t="e">
        <f>#REF!</f>
        <v>#REF!</v>
      </c>
      <c r="E22" s="109" t="str">
        <f>G21</f>
        <v>m3</v>
      </c>
      <c r="F22" s="67" t="s">
        <v>716</v>
      </c>
      <c r="G22" s="758"/>
      <c r="H22" s="767"/>
      <c r="I22" s="632"/>
      <c r="J22" s="666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</row>
    <row r="23" spans="1:106" s="3" customFormat="1" ht="31.5" customHeight="1">
      <c r="A23" s="21"/>
      <c r="B23" s="448" t="s">
        <v>57</v>
      </c>
      <c r="C23" s="737" t="s">
        <v>181</v>
      </c>
      <c r="D23" s="737"/>
      <c r="E23" s="737"/>
      <c r="F23" s="737"/>
      <c r="G23" s="737"/>
      <c r="H23" s="737"/>
      <c r="I23" s="737"/>
      <c r="J23" s="737"/>
    </row>
    <row r="24" spans="1:106" s="1" customFormat="1" ht="18" customHeight="1">
      <c r="A24" s="64" t="s">
        <v>34</v>
      </c>
      <c r="B24" s="571" t="s">
        <v>98</v>
      </c>
      <c r="C24" s="736" t="s">
        <v>99</v>
      </c>
      <c r="D24" s="736"/>
      <c r="E24" s="736"/>
      <c r="F24" s="736"/>
      <c r="G24" s="736"/>
      <c r="H24" s="736"/>
      <c r="I24" s="736"/>
      <c r="J24" s="736"/>
    </row>
    <row r="25" spans="1:106" s="1" customFormat="1" ht="33" customHeight="1">
      <c r="A25" s="86">
        <v>6</v>
      </c>
      <c r="B25" s="431" t="s">
        <v>970</v>
      </c>
      <c r="C25" s="778" t="s">
        <v>1011</v>
      </c>
      <c r="D25" s="778"/>
      <c r="E25" s="778"/>
      <c r="F25" s="778"/>
      <c r="G25" s="86" t="s">
        <v>176</v>
      </c>
      <c r="H25" s="87">
        <f>M5*3.2</f>
        <v>470.4</v>
      </c>
      <c r="I25" s="566"/>
      <c r="J25" s="662"/>
    </row>
    <row r="26" spans="1:106" s="1" customFormat="1" ht="33" customHeight="1">
      <c r="A26" s="64" t="s">
        <v>34</v>
      </c>
      <c r="B26" s="571" t="s">
        <v>114</v>
      </c>
      <c r="C26" s="736" t="s">
        <v>1024</v>
      </c>
      <c r="D26" s="736"/>
      <c r="E26" s="736"/>
      <c r="F26" s="736"/>
      <c r="G26" s="736"/>
      <c r="H26" s="736"/>
      <c r="I26" s="736"/>
      <c r="J26" s="736"/>
    </row>
    <row r="27" spans="1:106" s="1" customFormat="1" ht="33" customHeight="1">
      <c r="A27" s="86">
        <v>7</v>
      </c>
      <c r="B27" s="564" t="s">
        <v>162</v>
      </c>
      <c r="C27" s="778" t="s">
        <v>1023</v>
      </c>
      <c r="D27" s="778"/>
      <c r="E27" s="778"/>
      <c r="F27" s="778"/>
      <c r="G27" s="86" t="s">
        <v>176</v>
      </c>
      <c r="H27" s="87">
        <f>M5*3.2</f>
        <v>470.4</v>
      </c>
      <c r="I27" s="566"/>
      <c r="J27" s="662"/>
    </row>
    <row r="28" spans="1:106" s="8" customFormat="1" ht="18" customHeight="1">
      <c r="A28" s="64" t="s">
        <v>34</v>
      </c>
      <c r="B28" s="571" t="s">
        <v>972</v>
      </c>
      <c r="C28" s="736" t="s">
        <v>20</v>
      </c>
      <c r="D28" s="736"/>
      <c r="E28" s="736"/>
      <c r="F28" s="736"/>
      <c r="G28" s="736"/>
      <c r="H28" s="736"/>
      <c r="I28" s="736"/>
      <c r="J28" s="736"/>
    </row>
    <row r="29" spans="1:106" s="8" customFormat="1" ht="30" customHeight="1">
      <c r="A29" s="86">
        <v>8</v>
      </c>
      <c r="B29" s="623" t="s">
        <v>984</v>
      </c>
      <c r="C29" s="769" t="s">
        <v>485</v>
      </c>
      <c r="D29" s="769"/>
      <c r="E29" s="769"/>
      <c r="F29" s="769"/>
      <c r="G29" s="86" t="s">
        <v>176</v>
      </c>
      <c r="H29" s="87">
        <f>M5*3.2</f>
        <v>470.4</v>
      </c>
      <c r="I29" s="566"/>
      <c r="J29" s="662"/>
      <c r="L29" s="8" t="s">
        <v>1081</v>
      </c>
    </row>
    <row r="30" spans="1:106" s="8" customFormat="1" ht="33" customHeight="1">
      <c r="A30" s="524"/>
      <c r="B30" s="524" t="s">
        <v>59</v>
      </c>
      <c r="C30" s="770" t="s">
        <v>182</v>
      </c>
      <c r="D30" s="770"/>
      <c r="E30" s="770"/>
      <c r="F30" s="770"/>
      <c r="G30" s="770"/>
      <c r="H30" s="770"/>
      <c r="I30" s="770"/>
      <c r="J30" s="770"/>
    </row>
    <row r="31" spans="1:106" s="16" customFormat="1" ht="25.5" hidden="1" customHeight="1">
      <c r="A31" s="64" t="s">
        <v>34</v>
      </c>
      <c r="B31" s="276" t="s">
        <v>116</v>
      </c>
      <c r="C31" s="741" t="s">
        <v>776</v>
      </c>
      <c r="D31" s="741"/>
      <c r="E31" s="741"/>
      <c r="F31" s="741"/>
      <c r="G31" s="741" t="s">
        <v>8</v>
      </c>
      <c r="H31" s="741"/>
      <c r="I31" s="673"/>
      <c r="J31" s="669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</row>
    <row r="32" spans="1:106" s="204" customFormat="1" ht="29.25" hidden="1" customHeight="1">
      <c r="A32" s="86">
        <v>27</v>
      </c>
      <c r="B32" s="650" t="s">
        <v>116</v>
      </c>
      <c r="C32" s="771" t="s">
        <v>820</v>
      </c>
      <c r="D32" s="771"/>
      <c r="E32" s="771"/>
      <c r="F32" s="771"/>
      <c r="G32" s="289" t="s">
        <v>919</v>
      </c>
      <c r="H32" s="671" t="e">
        <f>SUM(#REF!)</f>
        <v>#REF!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9.25" hidden="1" customHeight="1">
      <c r="A33" s="772"/>
      <c r="B33" s="773"/>
      <c r="C33" s="774" t="s">
        <v>778</v>
      </c>
      <c r="D33" s="774"/>
      <c r="E33" s="774"/>
      <c r="F33" s="774"/>
      <c r="G33" s="775" t="s">
        <v>920</v>
      </c>
      <c r="H33" s="776" t="s">
        <v>34</v>
      </c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772"/>
      <c r="B34" s="773"/>
      <c r="C34" s="645" t="s">
        <v>713</v>
      </c>
      <c r="D34" s="652" t="e">
        <f>#REF!</f>
        <v>#REF!</v>
      </c>
      <c r="E34" s="290" t="str">
        <f>G33</f>
        <v>m2</v>
      </c>
      <c r="F34" s="652" t="s">
        <v>716</v>
      </c>
      <c r="G34" s="775"/>
      <c r="H34" s="776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20.25" hidden="1" customHeight="1">
      <c r="A35" s="276" t="s">
        <v>34</v>
      </c>
      <c r="B35" s="276" t="s">
        <v>845</v>
      </c>
      <c r="C35" s="741" t="s">
        <v>847</v>
      </c>
      <c r="D35" s="741" t="s">
        <v>8</v>
      </c>
      <c r="E35" s="741"/>
      <c r="F35" s="741"/>
      <c r="G35" s="655" t="s">
        <v>8</v>
      </c>
      <c r="H35" s="655"/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36" hidden="1" customHeight="1">
      <c r="A36" s="593">
        <v>44</v>
      </c>
      <c r="B36" s="656" t="s">
        <v>846</v>
      </c>
      <c r="C36" s="771" t="s">
        <v>915</v>
      </c>
      <c r="D36" s="771"/>
      <c r="E36" s="771"/>
      <c r="F36" s="771"/>
      <c r="G36" s="289" t="s">
        <v>919</v>
      </c>
      <c r="H36" s="671" t="e">
        <f>SUM(#REF!)</f>
        <v>#REF!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45.75" hidden="1" customHeight="1">
      <c r="A37" s="775"/>
      <c r="B37" s="773"/>
      <c r="C37" s="774" t="s">
        <v>940</v>
      </c>
      <c r="D37" s="774"/>
      <c r="E37" s="774"/>
      <c r="F37" s="774"/>
      <c r="G37" s="775" t="s">
        <v>920</v>
      </c>
      <c r="H37" s="776" t="s">
        <v>34</v>
      </c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24.75" hidden="1" customHeight="1">
      <c r="A38" s="775"/>
      <c r="B38" s="773"/>
      <c r="C38" s="645" t="s">
        <v>713</v>
      </c>
      <c r="D38" s="652" t="e">
        <f>#REF!</f>
        <v>#REF!</v>
      </c>
      <c r="E38" s="290" t="str">
        <f>G37</f>
        <v>m2</v>
      </c>
      <c r="F38" s="652" t="s">
        <v>811</v>
      </c>
      <c r="G38" s="775"/>
      <c r="H38" s="776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34.5" hidden="1" customHeight="1">
      <c r="A39" s="64" t="s">
        <v>34</v>
      </c>
      <c r="B39" s="276" t="s">
        <v>848</v>
      </c>
      <c r="C39" s="741" t="s">
        <v>849</v>
      </c>
      <c r="D39" s="741" t="s">
        <v>8</v>
      </c>
      <c r="E39" s="741"/>
      <c r="F39" s="741"/>
      <c r="G39" s="655" t="s">
        <v>8</v>
      </c>
      <c r="H39" s="655"/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20.25" hidden="1" customHeight="1">
      <c r="A40" s="458">
        <v>29</v>
      </c>
      <c r="B40" s="656" t="s">
        <v>846</v>
      </c>
      <c r="C40" s="771" t="s">
        <v>844</v>
      </c>
      <c r="D40" s="771"/>
      <c r="E40" s="771"/>
      <c r="F40" s="771"/>
      <c r="G40" s="289" t="s">
        <v>919</v>
      </c>
      <c r="H40" s="671" t="e">
        <f>SUM(#REF!)</f>
        <v>#REF!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47.25" hidden="1" customHeight="1">
      <c r="A41" s="772"/>
      <c r="B41" s="773"/>
      <c r="C41" s="774" t="s">
        <v>843</v>
      </c>
      <c r="D41" s="774"/>
      <c r="E41" s="774"/>
      <c r="F41" s="774"/>
      <c r="G41" s="775" t="s">
        <v>920</v>
      </c>
      <c r="H41" s="776" t="s">
        <v>34</v>
      </c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772"/>
      <c r="B42" s="773"/>
      <c r="C42" s="645" t="s">
        <v>713</v>
      </c>
      <c r="D42" s="652" t="e">
        <f>#REF!</f>
        <v>#REF!</v>
      </c>
      <c r="E42" s="290" t="str">
        <f>G41</f>
        <v>m2</v>
      </c>
      <c r="F42" s="652" t="s">
        <v>811</v>
      </c>
      <c r="G42" s="775"/>
      <c r="H42" s="776"/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20.25" hidden="1" customHeight="1">
      <c r="A43" s="458">
        <v>30</v>
      </c>
      <c r="B43" s="656" t="s">
        <v>851</v>
      </c>
      <c r="C43" s="771" t="s">
        <v>852</v>
      </c>
      <c r="D43" s="771"/>
      <c r="E43" s="771"/>
      <c r="F43" s="771"/>
      <c r="G43" s="289" t="s">
        <v>919</v>
      </c>
      <c r="H43" s="671" t="e">
        <f>SUM(#REF!)</f>
        <v>#REF!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45.75" hidden="1" customHeight="1">
      <c r="A44" s="772"/>
      <c r="B44" s="773"/>
      <c r="C44" s="774" t="s">
        <v>853</v>
      </c>
      <c r="D44" s="774"/>
      <c r="E44" s="774"/>
      <c r="F44" s="774"/>
      <c r="G44" s="775" t="s">
        <v>920</v>
      </c>
      <c r="H44" s="776" t="s">
        <v>34</v>
      </c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hidden="1" customHeight="1">
      <c r="A45" s="772"/>
      <c r="B45" s="773"/>
      <c r="C45" s="645" t="s">
        <v>713</v>
      </c>
      <c r="D45" s="652" t="e">
        <f>#REF!</f>
        <v>#REF!</v>
      </c>
      <c r="E45" s="290" t="str">
        <f>G44</f>
        <v>m2</v>
      </c>
      <c r="F45" s="652" t="s">
        <v>811</v>
      </c>
      <c r="G45" s="775"/>
      <c r="H45" s="776"/>
      <c r="I45" s="674"/>
      <c r="J45" s="665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20.25" customHeight="1">
      <c r="A46" s="571"/>
      <c r="B46" s="64" t="s">
        <v>116</v>
      </c>
      <c r="C46" s="736" t="s">
        <v>776</v>
      </c>
      <c r="D46" s="736"/>
      <c r="E46" s="736"/>
      <c r="F46" s="736"/>
      <c r="G46" s="736"/>
      <c r="H46" s="736"/>
      <c r="I46" s="736"/>
      <c r="J46" s="736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36.75" customHeight="1">
      <c r="A47" s="679" t="s">
        <v>1029</v>
      </c>
      <c r="B47" s="564" t="s">
        <v>213</v>
      </c>
      <c r="C47" s="769" t="s">
        <v>1021</v>
      </c>
      <c r="D47" s="769"/>
      <c r="E47" s="769"/>
      <c r="F47" s="769"/>
      <c r="G47" s="458" t="s">
        <v>176</v>
      </c>
      <c r="H47" s="566">
        <v>20</v>
      </c>
      <c r="I47" s="389"/>
      <c r="J47" s="662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</row>
    <row r="48" spans="1:68" s="204" customFormat="1" ht="22.5" customHeight="1">
      <c r="A48" s="64" t="s">
        <v>34</v>
      </c>
      <c r="B48" s="64" t="s">
        <v>21</v>
      </c>
      <c r="C48" s="736" t="s">
        <v>1078</v>
      </c>
      <c r="D48" s="736"/>
      <c r="E48" s="736"/>
      <c r="F48" s="736"/>
      <c r="G48" s="736"/>
      <c r="H48" s="736"/>
      <c r="I48" s="736"/>
      <c r="J48" s="736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0.75" hidden="1" customHeight="1">
      <c r="A49" s="289">
        <v>45</v>
      </c>
      <c r="B49" s="656" t="s">
        <v>816</v>
      </c>
      <c r="C49" s="771" t="s">
        <v>935</v>
      </c>
      <c r="D49" s="771"/>
      <c r="E49" s="771"/>
      <c r="F49" s="771"/>
      <c r="G49" s="289" t="s">
        <v>924</v>
      </c>
      <c r="H49" s="671" t="e">
        <f>SUM(#REF!)</f>
        <v>#REF!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6.75" hidden="1" customHeight="1">
      <c r="A50" s="775"/>
      <c r="B50" s="777"/>
      <c r="C50" s="774" t="s">
        <v>936</v>
      </c>
      <c r="D50" s="774"/>
      <c r="E50" s="774"/>
      <c r="F50" s="774"/>
      <c r="G50" s="775" t="s">
        <v>924</v>
      </c>
      <c r="H50" s="776" t="s">
        <v>34</v>
      </c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30" hidden="1" customHeight="1">
      <c r="A51" s="775"/>
      <c r="B51" s="777"/>
      <c r="C51" s="645" t="s">
        <v>713</v>
      </c>
      <c r="D51" s="652" t="e">
        <f>#REF!</f>
        <v>#REF!</v>
      </c>
      <c r="E51" s="290" t="s">
        <v>924</v>
      </c>
      <c r="F51" s="652" t="s">
        <v>716</v>
      </c>
      <c r="G51" s="775"/>
      <c r="H51" s="776"/>
      <c r="I51" s="674"/>
      <c r="J51" s="665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204" customFormat="1" ht="43.5" customHeight="1">
      <c r="A52" s="86">
        <v>10</v>
      </c>
      <c r="B52" s="564" t="s">
        <v>1008</v>
      </c>
      <c r="C52" s="778" t="s">
        <v>1079</v>
      </c>
      <c r="D52" s="778"/>
      <c r="E52" s="778"/>
      <c r="F52" s="778"/>
      <c r="G52" s="86" t="s">
        <v>176</v>
      </c>
      <c r="H52" s="77">
        <f>M5*3*1.05</f>
        <v>463.05</v>
      </c>
      <c r="I52" s="77"/>
      <c r="J52" s="662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</row>
    <row r="53" spans="1:68" s="41" customFormat="1" ht="35.25" customHeight="1">
      <c r="A53" s="21"/>
      <c r="B53" s="448" t="s">
        <v>60</v>
      </c>
      <c r="C53" s="737" t="s">
        <v>183</v>
      </c>
      <c r="D53" s="737"/>
      <c r="E53" s="737"/>
      <c r="F53" s="737"/>
      <c r="G53" s="737"/>
      <c r="H53" s="737"/>
      <c r="I53" s="737"/>
      <c r="J53" s="737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</row>
    <row r="54" spans="1:68" s="8" customFormat="1" ht="19.5" customHeight="1">
      <c r="A54" s="64" t="s">
        <v>34</v>
      </c>
      <c r="B54" s="571" t="s">
        <v>23</v>
      </c>
      <c r="C54" s="736" t="s">
        <v>167</v>
      </c>
      <c r="D54" s="736"/>
      <c r="E54" s="736"/>
      <c r="F54" s="736"/>
      <c r="G54" s="736" t="s">
        <v>8</v>
      </c>
      <c r="H54" s="736"/>
      <c r="I54" s="736"/>
      <c r="J54" s="736"/>
    </row>
    <row r="55" spans="1:68" s="11" customFormat="1" ht="28.5" customHeight="1">
      <c r="A55" s="86">
        <v>11</v>
      </c>
      <c r="B55" s="432" t="s">
        <v>0</v>
      </c>
      <c r="C55" s="778" t="s">
        <v>74</v>
      </c>
      <c r="D55" s="778"/>
      <c r="E55" s="778"/>
      <c r="F55" s="778"/>
      <c r="G55" s="86" t="s">
        <v>176</v>
      </c>
      <c r="H55" s="87">
        <f>H9/2</f>
        <v>73.5</v>
      </c>
      <c r="I55" s="566"/>
      <c r="J55" s="662"/>
    </row>
    <row r="56" spans="1:68" s="8" customFormat="1" ht="38.25" hidden="1" customHeight="1">
      <c r="A56" s="779"/>
      <c r="B56" s="780"/>
      <c r="C56" s="781" t="s">
        <v>983</v>
      </c>
      <c r="D56" s="781"/>
      <c r="E56" s="781"/>
      <c r="F56" s="781"/>
      <c r="G56" s="772" t="s">
        <v>177</v>
      </c>
      <c r="H56" s="782" t="s">
        <v>34</v>
      </c>
      <c r="I56" s="106"/>
      <c r="J56" s="662" t="e">
        <f t="shared" ref="J56:J57" si="0">H56*I56</f>
        <v>#VALUE!</v>
      </c>
    </row>
    <row r="57" spans="1:68" s="8" customFormat="1" ht="16.5" hidden="1" customHeight="1">
      <c r="A57" s="779"/>
      <c r="B57" s="780"/>
      <c r="C57" s="672" t="s">
        <v>713</v>
      </c>
      <c r="D57" s="67" t="e">
        <f>#REF!</f>
        <v>#REF!</v>
      </c>
      <c r="E57" s="109" t="str">
        <f>G56</f>
        <v>m2</v>
      </c>
      <c r="F57" s="67" t="s">
        <v>715</v>
      </c>
      <c r="G57" s="772"/>
      <c r="H57" s="782"/>
      <c r="I57" s="106"/>
      <c r="J57" s="662">
        <f t="shared" si="0"/>
        <v>0</v>
      </c>
    </row>
    <row r="58" spans="1:68" s="8" customFormat="1" ht="19.5" customHeight="1">
      <c r="A58" s="64" t="s">
        <v>34</v>
      </c>
      <c r="B58" s="450" t="s">
        <v>976</v>
      </c>
      <c r="C58" s="736" t="s">
        <v>975</v>
      </c>
      <c r="D58" s="736"/>
      <c r="E58" s="736"/>
      <c r="F58" s="736"/>
      <c r="G58" s="736" t="s">
        <v>8</v>
      </c>
      <c r="H58" s="736"/>
      <c r="I58" s="736"/>
      <c r="J58" s="736"/>
    </row>
    <row r="59" spans="1:68" s="11" customFormat="1" ht="29.25" customHeight="1">
      <c r="A59" s="86">
        <v>12</v>
      </c>
      <c r="B59" s="432" t="s">
        <v>977</v>
      </c>
      <c r="C59" s="778" t="s">
        <v>1017</v>
      </c>
      <c r="D59" s="778"/>
      <c r="E59" s="778"/>
      <c r="F59" s="778"/>
      <c r="G59" s="86" t="s">
        <v>176</v>
      </c>
      <c r="H59" s="87">
        <f>M5*2*0.5</f>
        <v>147</v>
      </c>
      <c r="I59" s="77"/>
      <c r="J59" s="662"/>
    </row>
    <row r="60" spans="1:68" ht="21" customHeight="1">
      <c r="A60" s="783" t="s">
        <v>1014</v>
      </c>
      <c r="B60" s="783"/>
      <c r="C60" s="783"/>
      <c r="D60" s="783"/>
      <c r="E60" s="783"/>
      <c r="F60" s="783"/>
      <c r="G60" s="783"/>
      <c r="H60" s="783"/>
      <c r="I60" s="783"/>
      <c r="J60" s="592"/>
    </row>
    <row r="61" spans="1:68" ht="21" customHeight="1">
      <c r="A61" s="783" t="s">
        <v>76</v>
      </c>
      <c r="B61" s="783"/>
      <c r="C61" s="783"/>
      <c r="D61" s="783"/>
      <c r="E61" s="783"/>
      <c r="F61" s="783"/>
      <c r="G61" s="783"/>
      <c r="H61" s="783"/>
      <c r="I61" s="783"/>
      <c r="J61" s="592"/>
    </row>
    <row r="62" spans="1:68" ht="21" customHeight="1">
      <c r="A62" s="783" t="s">
        <v>90</v>
      </c>
      <c r="B62" s="783"/>
      <c r="C62" s="783"/>
      <c r="D62" s="783"/>
      <c r="E62" s="783"/>
      <c r="F62" s="783"/>
      <c r="G62" s="783"/>
      <c r="H62" s="783"/>
      <c r="I62" s="783"/>
      <c r="J62" s="592"/>
    </row>
    <row r="63" spans="1:68" ht="21" customHeight="1">
      <c r="A63" s="553"/>
      <c r="B63" s="553"/>
      <c r="C63" s="554"/>
      <c r="D63" s="556"/>
      <c r="E63" s="555"/>
      <c r="F63" s="555"/>
      <c r="G63" s="500"/>
      <c r="H63" s="547"/>
    </row>
    <row r="64" spans="1:68" ht="12.75" customHeight="1">
      <c r="B64" s="494"/>
      <c r="C64" s="507"/>
      <c r="D64" s="504"/>
      <c r="E64" s="494"/>
      <c r="F64" s="526"/>
      <c r="G64" s="526"/>
    </row>
    <row r="65" spans="1:106" ht="12.75" customHeight="1">
      <c r="B65" s="494"/>
      <c r="C65" s="507"/>
      <c r="D65" s="504"/>
      <c r="E65" s="494"/>
      <c r="F65" s="526"/>
      <c r="G65" s="526"/>
    </row>
    <row r="66" spans="1:106" s="18" customFormat="1" ht="12.75" customHeight="1">
      <c r="A66" s="17"/>
      <c r="B66" s="494"/>
      <c r="C66" s="507"/>
      <c r="D66" s="504"/>
      <c r="E66" s="494"/>
      <c r="F66" s="526"/>
      <c r="G66" s="526"/>
      <c r="I66" s="40"/>
      <c r="J66" s="488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</row>
    <row r="67" spans="1:106" s="18" customFormat="1" ht="12.75" customHeight="1">
      <c r="A67" s="17"/>
      <c r="B67" s="494"/>
      <c r="C67" s="507"/>
      <c r="D67" s="504"/>
      <c r="E67" s="494"/>
      <c r="F67" s="526"/>
      <c r="G67" s="526"/>
      <c r="I67" s="40"/>
      <c r="J67" s="488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</row>
  </sheetData>
  <mergeCells count="93">
    <mergeCell ref="C58:J58"/>
    <mergeCell ref="C59:F59"/>
    <mergeCell ref="A60:I60"/>
    <mergeCell ref="A61:I61"/>
    <mergeCell ref="A62:I62"/>
    <mergeCell ref="A56:A57"/>
    <mergeCell ref="B56:B57"/>
    <mergeCell ref="C56:F56"/>
    <mergeCell ref="G56:G57"/>
    <mergeCell ref="C16:F16"/>
    <mergeCell ref="C17:F17"/>
    <mergeCell ref="C52:F52"/>
    <mergeCell ref="C53:J53"/>
    <mergeCell ref="C54:J54"/>
    <mergeCell ref="C43:F43"/>
    <mergeCell ref="H37:H38"/>
    <mergeCell ref="C39:F39"/>
    <mergeCell ref="C40:F40"/>
    <mergeCell ref="C35:F35"/>
    <mergeCell ref="C36:F36"/>
    <mergeCell ref="C23:J23"/>
    <mergeCell ref="H56:H57"/>
    <mergeCell ref="C46:J46"/>
    <mergeCell ref="C47:F47"/>
    <mergeCell ref="C48:J48"/>
    <mergeCell ref="C49:F49"/>
    <mergeCell ref="C55:F55"/>
    <mergeCell ref="A50:A51"/>
    <mergeCell ref="B50:B51"/>
    <mergeCell ref="C50:F50"/>
    <mergeCell ref="G50:G51"/>
    <mergeCell ref="H50:H51"/>
    <mergeCell ref="A44:A45"/>
    <mergeCell ref="B44:B45"/>
    <mergeCell ref="C44:F44"/>
    <mergeCell ref="G44:G45"/>
    <mergeCell ref="H44:H45"/>
    <mergeCell ref="A41:A42"/>
    <mergeCell ref="B41:B42"/>
    <mergeCell ref="C41:F41"/>
    <mergeCell ref="G41:G42"/>
    <mergeCell ref="H41:H42"/>
    <mergeCell ref="A37:A38"/>
    <mergeCell ref="B37:B38"/>
    <mergeCell ref="C37:F37"/>
    <mergeCell ref="G37:G38"/>
    <mergeCell ref="C29:F29"/>
    <mergeCell ref="C30:J30"/>
    <mergeCell ref="C31:H31"/>
    <mergeCell ref="C32:F32"/>
    <mergeCell ref="A33:A34"/>
    <mergeCell ref="B33:B34"/>
    <mergeCell ref="C33:F33"/>
    <mergeCell ref="G33:G34"/>
    <mergeCell ref="H33:H34"/>
    <mergeCell ref="C28:J28"/>
    <mergeCell ref="M14:P14"/>
    <mergeCell ref="C18:J18"/>
    <mergeCell ref="C19:J19"/>
    <mergeCell ref="C20:F20"/>
    <mergeCell ref="C24:J24"/>
    <mergeCell ref="C25:F25"/>
    <mergeCell ref="C26:J26"/>
    <mergeCell ref="C27:F27"/>
    <mergeCell ref="A21:A22"/>
    <mergeCell ref="B21:B22"/>
    <mergeCell ref="C21:F21"/>
    <mergeCell ref="G21:G22"/>
    <mergeCell ref="H21:H22"/>
    <mergeCell ref="C12:J12"/>
    <mergeCell ref="C13:F13"/>
    <mergeCell ref="A14:A15"/>
    <mergeCell ref="B14:B15"/>
    <mergeCell ref="C14:F14"/>
    <mergeCell ref="G14:G15"/>
    <mergeCell ref="H14:H15"/>
    <mergeCell ref="C8:J8"/>
    <mergeCell ref="C9:F9"/>
    <mergeCell ref="A10:A11"/>
    <mergeCell ref="B10:B11"/>
    <mergeCell ref="C10:F10"/>
    <mergeCell ref="G10:G11"/>
    <mergeCell ref="H10:H11"/>
    <mergeCell ref="A1:J1"/>
    <mergeCell ref="A2:J2"/>
    <mergeCell ref="C3:F3"/>
    <mergeCell ref="B4:J4"/>
    <mergeCell ref="C5:J5"/>
    <mergeCell ref="A6:A7"/>
    <mergeCell ref="B6:B7"/>
    <mergeCell ref="C6:F6"/>
    <mergeCell ref="G6:G7"/>
    <mergeCell ref="H6:H7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107"/>
  <sheetViews>
    <sheetView view="pageBreakPreview" zoomScale="70" zoomScaleNormal="100" zoomScaleSheetLayoutView="70" workbookViewId="0">
      <selection activeCell="A2" sqref="A2:J2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44" t="s">
        <v>1084</v>
      </c>
      <c r="B1" s="744"/>
      <c r="C1" s="744"/>
      <c r="D1" s="744"/>
      <c r="E1" s="744"/>
      <c r="F1" s="744"/>
      <c r="G1" s="744"/>
      <c r="H1" s="744"/>
      <c r="I1" s="744"/>
      <c r="J1" s="744"/>
    </row>
    <row r="2" spans="1:18" s="4" customFormat="1" ht="39" customHeight="1">
      <c r="A2" s="760" t="s">
        <v>1077</v>
      </c>
      <c r="B2" s="760"/>
      <c r="C2" s="760"/>
      <c r="D2" s="760"/>
      <c r="E2" s="760"/>
      <c r="F2" s="760"/>
      <c r="G2" s="760"/>
      <c r="H2" s="760"/>
      <c r="I2" s="760"/>
      <c r="J2" s="760"/>
    </row>
    <row r="3" spans="1:18" ht="45" customHeight="1">
      <c r="A3" s="74" t="s">
        <v>3</v>
      </c>
      <c r="B3" s="449" t="s">
        <v>199</v>
      </c>
      <c r="C3" s="755" t="s">
        <v>4</v>
      </c>
      <c r="D3" s="755"/>
      <c r="E3" s="755"/>
      <c r="F3" s="755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61" t="s">
        <v>1006</v>
      </c>
      <c r="C4" s="761"/>
      <c r="D4" s="761"/>
      <c r="E4" s="761"/>
      <c r="F4" s="761"/>
      <c r="G4" s="761"/>
      <c r="H4" s="761"/>
      <c r="I4" s="761"/>
      <c r="J4" s="761"/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</row>
    <row r="6" spans="1:18" ht="44.25" hidden="1" customHeight="1">
      <c r="A6" s="755"/>
      <c r="B6" s="756"/>
      <c r="C6" s="757" t="s">
        <v>733</v>
      </c>
      <c r="D6" s="757"/>
      <c r="E6" s="757"/>
      <c r="F6" s="757"/>
      <c r="G6" s="758" t="s">
        <v>177</v>
      </c>
      <c r="H6" s="759" t="s">
        <v>34</v>
      </c>
      <c r="I6" s="377"/>
      <c r="J6" s="521"/>
    </row>
    <row r="7" spans="1:18" ht="21.75" hidden="1" customHeight="1">
      <c r="A7" s="755"/>
      <c r="B7" s="756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58"/>
      <c r="H7" s="759"/>
      <c r="I7" s="377"/>
      <c r="J7" s="521"/>
    </row>
    <row r="8" spans="1:18" ht="18" customHeight="1">
      <c r="A8" s="64" t="s">
        <v>34</v>
      </c>
      <c r="B8" s="571" t="s">
        <v>14</v>
      </c>
      <c r="C8" s="736" t="s">
        <v>108</v>
      </c>
      <c r="D8" s="736"/>
      <c r="E8" s="736"/>
      <c r="F8" s="736"/>
      <c r="G8" s="736"/>
      <c r="H8" s="736"/>
      <c r="I8" s="736"/>
      <c r="J8" s="736"/>
    </row>
    <row r="9" spans="1:18" s="14" customFormat="1" ht="31.5" customHeight="1">
      <c r="A9" s="74">
        <v>1</v>
      </c>
      <c r="B9" s="449" t="s">
        <v>952</v>
      </c>
      <c r="C9" s="762" t="s">
        <v>951</v>
      </c>
      <c r="D9" s="762"/>
      <c r="E9" s="762"/>
      <c r="F9" s="762"/>
      <c r="G9" s="74" t="s">
        <v>176</v>
      </c>
      <c r="H9" s="693">
        <v>1500</v>
      </c>
      <c r="I9" s="78"/>
      <c r="J9" s="662"/>
    </row>
    <row r="10" spans="1:18" ht="54" hidden="1" customHeight="1">
      <c r="A10" s="755"/>
      <c r="B10" s="763"/>
      <c r="C10" s="764" t="s">
        <v>969</v>
      </c>
      <c r="D10" s="764"/>
      <c r="E10" s="764"/>
      <c r="F10" s="764"/>
      <c r="G10" s="758" t="s">
        <v>177</v>
      </c>
      <c r="H10" s="765" t="s">
        <v>34</v>
      </c>
      <c r="I10" s="377"/>
      <c r="J10" s="521"/>
    </row>
    <row r="11" spans="1:18" ht="21" hidden="1" customHeight="1">
      <c r="A11" s="755"/>
      <c r="B11" s="763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58"/>
      <c r="H11" s="765"/>
      <c r="I11" s="377"/>
      <c r="J11" s="521"/>
    </row>
    <row r="12" spans="1:18" ht="21" customHeight="1">
      <c r="A12" s="571" t="s">
        <v>34</v>
      </c>
      <c r="B12" s="450" t="s">
        <v>408</v>
      </c>
      <c r="C12" s="736" t="s">
        <v>1015</v>
      </c>
      <c r="D12" s="736"/>
      <c r="E12" s="736"/>
      <c r="F12" s="736"/>
      <c r="G12" s="736"/>
      <c r="H12" s="736"/>
      <c r="I12" s="736"/>
      <c r="J12" s="736"/>
      <c r="K12" s="664"/>
      <c r="L12" s="76"/>
      <c r="M12" s="76"/>
    </row>
    <row r="13" spans="1:18" ht="48.75" customHeight="1">
      <c r="A13" s="74">
        <v>2</v>
      </c>
      <c r="B13" s="653"/>
      <c r="C13" s="807" t="s">
        <v>1016</v>
      </c>
      <c r="D13" s="807"/>
      <c r="E13" s="807"/>
      <c r="F13" s="807"/>
      <c r="G13" s="74" t="s">
        <v>176</v>
      </c>
      <c r="H13" s="78">
        <v>250</v>
      </c>
      <c r="I13" s="78"/>
      <c r="J13" s="592"/>
    </row>
    <row r="14" spans="1:18" ht="17.25" customHeight="1">
      <c r="A14" s="64" t="s">
        <v>34</v>
      </c>
      <c r="B14" s="571" t="s">
        <v>15</v>
      </c>
      <c r="C14" s="736" t="s">
        <v>10</v>
      </c>
      <c r="D14" s="736"/>
      <c r="E14" s="736"/>
      <c r="F14" s="736"/>
      <c r="G14" s="736"/>
      <c r="H14" s="736"/>
      <c r="I14" s="736"/>
      <c r="J14" s="736"/>
      <c r="R14" s="40">
        <v>13</v>
      </c>
    </row>
    <row r="15" spans="1:18" ht="50.25" customHeight="1">
      <c r="A15" s="74">
        <v>3</v>
      </c>
      <c r="B15" s="66" t="s">
        <v>109</v>
      </c>
      <c r="C15" s="762" t="s">
        <v>1009</v>
      </c>
      <c r="D15" s="762"/>
      <c r="E15" s="762"/>
      <c r="F15" s="762"/>
      <c r="G15" s="74" t="s">
        <v>176</v>
      </c>
      <c r="H15" s="693">
        <v>2320</v>
      </c>
      <c r="I15" s="78"/>
      <c r="J15" s="662"/>
    </row>
    <row r="16" spans="1:18" ht="25.5" hidden="1" customHeight="1">
      <c r="A16" s="786"/>
      <c r="B16" s="787"/>
      <c r="C16" s="788" t="s">
        <v>974</v>
      </c>
      <c r="D16" s="788"/>
      <c r="E16" s="788"/>
      <c r="F16" s="788"/>
      <c r="G16" s="789" t="s">
        <v>920</v>
      </c>
      <c r="H16" s="790" t="s">
        <v>34</v>
      </c>
      <c r="I16" s="377"/>
      <c r="J16" s="521"/>
      <c r="M16" s="784"/>
      <c r="N16" s="784"/>
      <c r="O16" s="784"/>
      <c r="P16" s="784"/>
    </row>
    <row r="17" spans="1:106" ht="20.25" hidden="1" customHeight="1">
      <c r="A17" s="786"/>
      <c r="B17" s="787"/>
      <c r="C17" s="645" t="s">
        <v>713</v>
      </c>
      <c r="D17" s="652" t="e">
        <f>#REF!</f>
        <v>#REF!</v>
      </c>
      <c r="E17" s="290" t="s">
        <v>708</v>
      </c>
      <c r="F17" s="652" t="s">
        <v>718</v>
      </c>
      <c r="G17" s="789"/>
      <c r="H17" s="790"/>
      <c r="I17" s="377"/>
      <c r="J17" s="521"/>
    </row>
    <row r="18" spans="1:106" ht="36.75" hidden="1" customHeight="1">
      <c r="A18" s="74">
        <v>7</v>
      </c>
      <c r="B18" s="75" t="s">
        <v>140</v>
      </c>
      <c r="C18" s="785" t="s">
        <v>1010</v>
      </c>
      <c r="D18" s="785"/>
      <c r="E18" s="785"/>
      <c r="F18" s="785"/>
      <c r="G18" s="74" t="s">
        <v>11</v>
      </c>
      <c r="H18" s="78" t="e">
        <f>#REF!</f>
        <v>#REF!</v>
      </c>
      <c r="I18" s="78">
        <v>12</v>
      </c>
      <c r="J18" s="662" t="e">
        <f>H18*I18</f>
        <v>#REF!</v>
      </c>
    </row>
    <row r="19" spans="1:106" ht="32.25" customHeight="1">
      <c r="A19" s="21"/>
      <c r="B19" s="448" t="s">
        <v>111</v>
      </c>
      <c r="C19" s="737" t="s">
        <v>189</v>
      </c>
      <c r="D19" s="737"/>
      <c r="E19" s="737"/>
      <c r="F19" s="737"/>
      <c r="G19" s="737"/>
      <c r="H19" s="737"/>
      <c r="I19" s="737"/>
      <c r="J19" s="737"/>
    </row>
    <row r="20" spans="1:106" s="15" customFormat="1" ht="21" customHeight="1">
      <c r="A20" s="64" t="s">
        <v>34</v>
      </c>
      <c r="B20" s="571" t="s">
        <v>142</v>
      </c>
      <c r="C20" s="736" t="s">
        <v>147</v>
      </c>
      <c r="D20" s="736"/>
      <c r="E20" s="736"/>
      <c r="F20" s="736"/>
      <c r="G20" s="736"/>
      <c r="H20" s="736"/>
      <c r="I20" s="736"/>
      <c r="J20" s="73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15" customFormat="1" ht="37.5" customHeight="1">
      <c r="A21" s="74">
        <v>4</v>
      </c>
      <c r="B21" s="572" t="s">
        <v>143</v>
      </c>
      <c r="C21" s="768" t="s">
        <v>1046</v>
      </c>
      <c r="D21" s="768"/>
      <c r="E21" s="768"/>
      <c r="F21" s="768"/>
      <c r="G21" s="74" t="s">
        <v>179</v>
      </c>
      <c r="H21" s="693">
        <v>980</v>
      </c>
      <c r="I21" s="78"/>
      <c r="J21" s="662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</row>
    <row r="22" spans="1:106" s="15" customFormat="1" ht="54" hidden="1" customHeight="1">
      <c r="A22" s="755"/>
      <c r="B22" s="766"/>
      <c r="C22" s="764" t="s">
        <v>978</v>
      </c>
      <c r="D22" s="764"/>
      <c r="E22" s="764"/>
      <c r="F22" s="764"/>
      <c r="G22" s="758" t="s">
        <v>178</v>
      </c>
      <c r="H22" s="767" t="s">
        <v>34</v>
      </c>
      <c r="I22" s="632"/>
      <c r="J22" s="666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</row>
    <row r="23" spans="1:106" s="15" customFormat="1" ht="18" hidden="1" customHeight="1">
      <c r="A23" s="755"/>
      <c r="B23" s="766"/>
      <c r="C23" s="672" t="s">
        <v>714</v>
      </c>
      <c r="D23" s="67" t="e">
        <f>#REF!</f>
        <v>#REF!</v>
      </c>
      <c r="E23" s="109" t="str">
        <f>G22</f>
        <v>m3</v>
      </c>
      <c r="F23" s="67" t="s">
        <v>716</v>
      </c>
      <c r="G23" s="758"/>
      <c r="H23" s="767"/>
      <c r="I23" s="632"/>
      <c r="J23" s="666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</row>
    <row r="24" spans="1:106" s="3" customFormat="1" ht="31.5" customHeight="1">
      <c r="A24" s="21"/>
      <c r="B24" s="448" t="s">
        <v>57</v>
      </c>
      <c r="C24" s="737" t="s">
        <v>181</v>
      </c>
      <c r="D24" s="737"/>
      <c r="E24" s="737"/>
      <c r="F24" s="737"/>
      <c r="G24" s="737"/>
      <c r="H24" s="737"/>
      <c r="I24" s="737"/>
      <c r="J24" s="737"/>
    </row>
    <row r="25" spans="1:106" s="1" customFormat="1" ht="18" customHeight="1">
      <c r="A25" s="64" t="s">
        <v>34</v>
      </c>
      <c r="B25" s="571" t="s">
        <v>98</v>
      </c>
      <c r="C25" s="736" t="s">
        <v>99</v>
      </c>
      <c r="D25" s="736"/>
      <c r="E25" s="736"/>
      <c r="F25" s="736"/>
      <c r="G25" s="736"/>
      <c r="H25" s="736"/>
      <c r="I25" s="736"/>
      <c r="J25" s="736"/>
    </row>
    <row r="26" spans="1:106" s="1" customFormat="1" ht="33" customHeight="1">
      <c r="A26" s="86">
        <v>5</v>
      </c>
      <c r="B26" s="431" t="s">
        <v>970</v>
      </c>
      <c r="C26" s="778" t="s">
        <v>986</v>
      </c>
      <c r="D26" s="778"/>
      <c r="E26" s="778"/>
      <c r="F26" s="778"/>
      <c r="G26" s="86" t="s">
        <v>176</v>
      </c>
      <c r="H26" s="694">
        <v>1150</v>
      </c>
      <c r="I26" s="566"/>
      <c r="J26" s="662"/>
    </row>
    <row r="27" spans="1:106" s="1" customFormat="1" ht="29.25" hidden="1" customHeight="1">
      <c r="A27" s="779"/>
      <c r="B27" s="808"/>
      <c r="C27" s="781" t="s">
        <v>971</v>
      </c>
      <c r="D27" s="781"/>
      <c r="E27" s="781"/>
      <c r="F27" s="781"/>
      <c r="G27" s="772" t="s">
        <v>177</v>
      </c>
      <c r="H27" s="782" t="s">
        <v>34</v>
      </c>
      <c r="I27" s="105"/>
      <c r="J27" s="467"/>
    </row>
    <row r="28" spans="1:106" s="1" customFormat="1" ht="18.75" hidden="1" customHeight="1">
      <c r="A28" s="779"/>
      <c r="B28" s="808"/>
      <c r="C28" s="672" t="s">
        <v>713</v>
      </c>
      <c r="D28" s="67" t="e">
        <f>#REF!</f>
        <v>#REF!</v>
      </c>
      <c r="E28" s="109" t="str">
        <f>G27</f>
        <v>m2</v>
      </c>
      <c r="F28" s="67" t="s">
        <v>715</v>
      </c>
      <c r="G28" s="772"/>
      <c r="H28" s="782"/>
      <c r="I28" s="105"/>
      <c r="J28" s="467"/>
    </row>
    <row r="29" spans="1:106" s="1" customFormat="1" ht="18.75" hidden="1" customHeight="1">
      <c r="A29" s="86">
        <v>19</v>
      </c>
      <c r="B29" s="656" t="s">
        <v>162</v>
      </c>
      <c r="C29" s="771" t="s">
        <v>575</v>
      </c>
      <c r="D29" s="771"/>
      <c r="E29" s="771"/>
      <c r="F29" s="771"/>
      <c r="G29" s="289" t="s">
        <v>919</v>
      </c>
      <c r="H29" s="158" t="e">
        <f>#REF!</f>
        <v>#REF!</v>
      </c>
      <c r="I29" s="105"/>
      <c r="J29" s="467"/>
      <c r="L29" s="1" t="s">
        <v>1081</v>
      </c>
    </row>
    <row r="30" spans="1:106" s="1" customFormat="1" ht="38.25" hidden="1" customHeight="1">
      <c r="A30" s="779"/>
      <c r="B30" s="808"/>
      <c r="C30" s="788" t="s">
        <v>810</v>
      </c>
      <c r="D30" s="788"/>
      <c r="E30" s="788"/>
      <c r="F30" s="788"/>
      <c r="G30" s="775" t="s">
        <v>920</v>
      </c>
      <c r="H30" s="776" t="s">
        <v>34</v>
      </c>
      <c r="I30" s="105"/>
      <c r="J30" s="467"/>
    </row>
    <row r="31" spans="1:106" s="1" customFormat="1" ht="18.75" hidden="1" customHeight="1">
      <c r="A31" s="779"/>
      <c r="B31" s="808"/>
      <c r="C31" s="645" t="s">
        <v>713</v>
      </c>
      <c r="D31" s="652" t="e">
        <f>#REF!</f>
        <v>#REF!</v>
      </c>
      <c r="E31" s="290" t="str">
        <f>G30</f>
        <v>m2</v>
      </c>
      <c r="F31" s="652" t="s">
        <v>811</v>
      </c>
      <c r="G31" s="775"/>
      <c r="H31" s="776"/>
      <c r="I31" s="105"/>
      <c r="J31" s="467"/>
    </row>
    <row r="32" spans="1:106" s="8" customFormat="1" ht="18" customHeight="1">
      <c r="A32" s="64" t="s">
        <v>34</v>
      </c>
      <c r="B32" s="571" t="s">
        <v>972</v>
      </c>
      <c r="C32" s="736" t="s">
        <v>20</v>
      </c>
      <c r="D32" s="736"/>
      <c r="E32" s="736"/>
      <c r="F32" s="736"/>
      <c r="G32" s="736"/>
      <c r="H32" s="736"/>
      <c r="I32" s="736"/>
      <c r="J32" s="736"/>
    </row>
    <row r="33" spans="1:10" s="8" customFormat="1" ht="46.5" customHeight="1">
      <c r="A33" s="74">
        <v>6</v>
      </c>
      <c r="B33" s="623" t="s">
        <v>1067</v>
      </c>
      <c r="C33" s="769" t="s">
        <v>1066</v>
      </c>
      <c r="D33" s="769"/>
      <c r="E33" s="769"/>
      <c r="F33" s="769"/>
      <c r="G33" s="86" t="s">
        <v>176</v>
      </c>
      <c r="H33" s="694">
        <v>1150</v>
      </c>
      <c r="I33" s="566"/>
      <c r="J33" s="662"/>
    </row>
    <row r="34" spans="1:10" s="8" customFormat="1" ht="30" customHeight="1">
      <c r="A34" s="86">
        <v>7</v>
      </c>
      <c r="B34" s="623" t="s">
        <v>984</v>
      </c>
      <c r="C34" s="769" t="s">
        <v>485</v>
      </c>
      <c r="D34" s="769"/>
      <c r="E34" s="769"/>
      <c r="F34" s="769"/>
      <c r="G34" s="86" t="s">
        <v>176</v>
      </c>
      <c r="H34" s="694">
        <v>2660</v>
      </c>
      <c r="I34" s="566"/>
      <c r="J34" s="662"/>
    </row>
    <row r="35" spans="1:10" s="8" customFormat="1" ht="39" hidden="1" customHeight="1">
      <c r="A35" s="779"/>
      <c r="B35" s="815"/>
      <c r="C35" s="781" t="s">
        <v>982</v>
      </c>
      <c r="D35" s="781"/>
      <c r="E35" s="781"/>
      <c r="F35" s="781"/>
      <c r="G35" s="772" t="s">
        <v>177</v>
      </c>
      <c r="H35" s="814" t="s">
        <v>34</v>
      </c>
      <c r="I35" s="106"/>
      <c r="J35" s="473"/>
    </row>
    <row r="36" spans="1:10" s="8" customFormat="1" ht="20.25" hidden="1" customHeight="1">
      <c r="A36" s="779"/>
      <c r="B36" s="815"/>
      <c r="C36" s="672" t="s">
        <v>713</v>
      </c>
      <c r="D36" s="67" t="e">
        <f>#REF!</f>
        <v>#REF!</v>
      </c>
      <c r="E36" s="109" t="str">
        <f>G35</f>
        <v>m2</v>
      </c>
      <c r="F36" s="67" t="s">
        <v>716</v>
      </c>
      <c r="G36" s="772"/>
      <c r="H36" s="814"/>
      <c r="I36" s="106"/>
      <c r="J36" s="473"/>
    </row>
    <row r="37" spans="1:10" s="8" customFormat="1" ht="20.25" customHeight="1">
      <c r="A37" s="64" t="s">
        <v>34</v>
      </c>
      <c r="B37" s="64" t="s">
        <v>166</v>
      </c>
      <c r="C37" s="736" t="s">
        <v>720</v>
      </c>
      <c r="D37" s="736"/>
      <c r="E37" s="736"/>
      <c r="F37" s="736"/>
      <c r="G37" s="736"/>
      <c r="H37" s="736"/>
      <c r="I37" s="736"/>
      <c r="J37" s="736"/>
    </row>
    <row r="38" spans="1:10" s="8" customFormat="1" ht="37.5" hidden="1" customHeight="1">
      <c r="A38" s="593">
        <v>41</v>
      </c>
      <c r="B38" s="627" t="s">
        <v>959</v>
      </c>
      <c r="C38" s="809" t="s">
        <v>954</v>
      </c>
      <c r="D38" s="809"/>
      <c r="E38" s="809"/>
      <c r="F38" s="809"/>
      <c r="G38" s="593" t="s">
        <v>919</v>
      </c>
      <c r="H38" s="594" t="e">
        <f>#REF!</f>
        <v>#REF!</v>
      </c>
      <c r="I38" s="106"/>
      <c r="J38" s="473"/>
    </row>
    <row r="39" spans="1:10" s="8" customFormat="1" ht="51" hidden="1" customHeight="1">
      <c r="A39" s="810"/>
      <c r="B39" s="811"/>
      <c r="C39" s="812" t="s">
        <v>955</v>
      </c>
      <c r="D39" s="812"/>
      <c r="E39" s="812"/>
      <c r="F39" s="812"/>
      <c r="G39" s="775" t="s">
        <v>920</v>
      </c>
      <c r="H39" s="813" t="s">
        <v>34</v>
      </c>
      <c r="I39" s="106"/>
      <c r="J39" s="473"/>
    </row>
    <row r="40" spans="1:10" s="8" customFormat="1" ht="20.25" hidden="1" customHeight="1">
      <c r="A40" s="810"/>
      <c r="B40" s="811"/>
      <c r="C40" s="646" t="s">
        <v>713</v>
      </c>
      <c r="D40" s="647" t="e">
        <f>#REF!</f>
        <v>#REF!</v>
      </c>
      <c r="E40" s="596" t="s">
        <v>920</v>
      </c>
      <c r="F40" s="652" t="s">
        <v>716</v>
      </c>
      <c r="G40" s="775"/>
      <c r="H40" s="813"/>
      <c r="I40" s="106"/>
      <c r="J40" s="473"/>
    </row>
    <row r="41" spans="1:10" s="8" customFormat="1" ht="51.75" customHeight="1">
      <c r="A41" s="458">
        <v>8</v>
      </c>
      <c r="B41" s="569" t="s">
        <v>985</v>
      </c>
      <c r="C41" s="769" t="s">
        <v>1007</v>
      </c>
      <c r="D41" s="769"/>
      <c r="E41" s="769"/>
      <c r="F41" s="769"/>
      <c r="G41" s="458" t="s">
        <v>176</v>
      </c>
      <c r="H41" s="694">
        <v>3390</v>
      </c>
      <c r="I41" s="566"/>
      <c r="J41" s="662"/>
    </row>
    <row r="42" spans="1:10" s="8" customFormat="1" ht="43.5" hidden="1" customHeight="1">
      <c r="A42" s="816"/>
      <c r="B42" s="817"/>
      <c r="C42" s="818" t="s">
        <v>981</v>
      </c>
      <c r="D42" s="818"/>
      <c r="E42" s="818"/>
      <c r="F42" s="818"/>
      <c r="G42" s="772" t="s">
        <v>177</v>
      </c>
      <c r="H42" s="814" t="s">
        <v>34</v>
      </c>
      <c r="I42" s="106"/>
      <c r="J42" s="473"/>
    </row>
    <row r="43" spans="1:10" s="8" customFormat="1" ht="16.5" hidden="1" customHeight="1">
      <c r="A43" s="816"/>
      <c r="B43" s="817"/>
      <c r="C43" s="106" t="s">
        <v>713</v>
      </c>
      <c r="D43" s="648" t="e">
        <f>#REF!</f>
        <v>#REF!</v>
      </c>
      <c r="E43" s="567" t="s">
        <v>177</v>
      </c>
      <c r="F43" s="67" t="s">
        <v>716</v>
      </c>
      <c r="G43" s="772"/>
      <c r="H43" s="814"/>
      <c r="I43" s="106"/>
      <c r="J43" s="473"/>
    </row>
    <row r="44" spans="1:10" s="8" customFormat="1" ht="20.25" hidden="1" customHeight="1">
      <c r="A44" s="731" t="s">
        <v>663</v>
      </c>
      <c r="B44" s="731"/>
      <c r="C44" s="731"/>
      <c r="D44" s="731"/>
      <c r="E44" s="731"/>
      <c r="F44" s="731"/>
      <c r="G44" s="731"/>
      <c r="H44" s="731"/>
      <c r="I44" s="106"/>
      <c r="J44" s="473"/>
    </row>
    <row r="45" spans="1:10" s="8" customFormat="1" ht="20.25" hidden="1" customHeight="1">
      <c r="A45" s="276" t="s">
        <v>34</v>
      </c>
      <c r="B45" s="677" t="s">
        <v>950</v>
      </c>
      <c r="C45" s="741" t="s">
        <v>740</v>
      </c>
      <c r="D45" s="741"/>
      <c r="E45" s="741"/>
      <c r="F45" s="741"/>
      <c r="G45" s="741"/>
      <c r="H45" s="741"/>
      <c r="I45" s="106"/>
      <c r="J45" s="473"/>
    </row>
    <row r="46" spans="1:10" s="8" customFormat="1" ht="21" hidden="1" customHeight="1">
      <c r="A46" s="593">
        <v>43</v>
      </c>
      <c r="B46" s="627" t="s">
        <v>949</v>
      </c>
      <c r="C46" s="809" t="s">
        <v>953</v>
      </c>
      <c r="D46" s="809"/>
      <c r="E46" s="809"/>
      <c r="F46" s="809"/>
      <c r="G46" s="593" t="s">
        <v>919</v>
      </c>
      <c r="H46" s="594" t="e">
        <f>#REF!</f>
        <v>#REF!</v>
      </c>
      <c r="I46" s="106"/>
      <c r="J46" s="473"/>
    </row>
    <row r="47" spans="1:10" s="8" customFormat="1" ht="36.75" hidden="1" customHeight="1">
      <c r="A47" s="810"/>
      <c r="B47" s="811"/>
      <c r="C47" s="812" t="s">
        <v>800</v>
      </c>
      <c r="D47" s="812"/>
      <c r="E47" s="812"/>
      <c r="F47" s="812"/>
      <c r="G47" s="775" t="s">
        <v>920</v>
      </c>
      <c r="H47" s="813" t="s">
        <v>34</v>
      </c>
      <c r="I47" s="106"/>
      <c r="J47" s="473"/>
    </row>
    <row r="48" spans="1:10" s="8" customFormat="1" ht="18.75" hidden="1" customHeight="1">
      <c r="A48" s="810"/>
      <c r="B48" s="811"/>
      <c r="C48" s="646" t="s">
        <v>713</v>
      </c>
      <c r="D48" s="647" t="e">
        <f>#REF!</f>
        <v>#REF!</v>
      </c>
      <c r="E48" s="596" t="s">
        <v>920</v>
      </c>
      <c r="F48" s="652" t="s">
        <v>716</v>
      </c>
      <c r="G48" s="775"/>
      <c r="H48" s="813"/>
      <c r="I48" s="106"/>
      <c r="J48" s="473"/>
    </row>
    <row r="49" spans="1:68" s="8" customFormat="1" ht="33" customHeight="1">
      <c r="A49" s="524"/>
      <c r="B49" s="524" t="s">
        <v>59</v>
      </c>
      <c r="C49" s="770" t="s">
        <v>182</v>
      </c>
      <c r="D49" s="770"/>
      <c r="E49" s="770"/>
      <c r="F49" s="770"/>
      <c r="G49" s="770"/>
      <c r="H49" s="770"/>
      <c r="I49" s="770"/>
      <c r="J49" s="770"/>
    </row>
    <row r="50" spans="1:68" s="16" customFormat="1" ht="25.5" hidden="1" customHeight="1">
      <c r="A50" s="64" t="s">
        <v>34</v>
      </c>
      <c r="B50" s="276" t="s">
        <v>116</v>
      </c>
      <c r="C50" s="741" t="s">
        <v>776</v>
      </c>
      <c r="D50" s="741"/>
      <c r="E50" s="741"/>
      <c r="F50" s="741"/>
      <c r="G50" s="741" t="s">
        <v>8</v>
      </c>
      <c r="H50" s="741"/>
      <c r="I50" s="673"/>
      <c r="J50" s="669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</row>
    <row r="51" spans="1:68" s="204" customFormat="1" ht="29.25" hidden="1" customHeight="1">
      <c r="A51" s="86">
        <v>27</v>
      </c>
      <c r="B51" s="650" t="s">
        <v>116</v>
      </c>
      <c r="C51" s="771" t="s">
        <v>820</v>
      </c>
      <c r="D51" s="771"/>
      <c r="E51" s="771"/>
      <c r="F51" s="771"/>
      <c r="G51" s="289" t="s">
        <v>919</v>
      </c>
      <c r="H51" s="671" t="e">
        <f>SUM(#REF!)</f>
        <v>#REF!</v>
      </c>
      <c r="I51" s="674"/>
      <c r="J51" s="665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</row>
    <row r="52" spans="1:68" s="204" customFormat="1" ht="29.25" hidden="1" customHeight="1">
      <c r="A52" s="772"/>
      <c r="B52" s="773"/>
      <c r="C52" s="774" t="s">
        <v>778</v>
      </c>
      <c r="D52" s="774"/>
      <c r="E52" s="774"/>
      <c r="F52" s="774"/>
      <c r="G52" s="775" t="s">
        <v>920</v>
      </c>
      <c r="H52" s="776" t="s">
        <v>34</v>
      </c>
      <c r="I52" s="674"/>
      <c r="J52" s="665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</row>
    <row r="53" spans="1:68" s="204" customFormat="1" ht="20.25" hidden="1" customHeight="1">
      <c r="A53" s="772"/>
      <c r="B53" s="773"/>
      <c r="C53" s="645" t="s">
        <v>713</v>
      </c>
      <c r="D53" s="652" t="e">
        <f>#REF!</f>
        <v>#REF!</v>
      </c>
      <c r="E53" s="290" t="str">
        <f>G52</f>
        <v>m2</v>
      </c>
      <c r="F53" s="652" t="s">
        <v>716</v>
      </c>
      <c r="G53" s="775"/>
      <c r="H53" s="776"/>
      <c r="I53" s="674"/>
      <c r="J53" s="665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</row>
    <row r="54" spans="1:68" s="204" customFormat="1" ht="20.25" hidden="1" customHeight="1">
      <c r="A54" s="276" t="s">
        <v>34</v>
      </c>
      <c r="B54" s="276" t="s">
        <v>845</v>
      </c>
      <c r="C54" s="741" t="s">
        <v>847</v>
      </c>
      <c r="D54" s="741" t="s">
        <v>8</v>
      </c>
      <c r="E54" s="741"/>
      <c r="F54" s="741"/>
      <c r="G54" s="655" t="s">
        <v>8</v>
      </c>
      <c r="H54" s="655"/>
      <c r="I54" s="674"/>
      <c r="J54" s="665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</row>
    <row r="55" spans="1:68" s="204" customFormat="1" ht="36" hidden="1" customHeight="1">
      <c r="A55" s="593">
        <v>44</v>
      </c>
      <c r="B55" s="656" t="s">
        <v>846</v>
      </c>
      <c r="C55" s="771" t="s">
        <v>915</v>
      </c>
      <c r="D55" s="771"/>
      <c r="E55" s="771"/>
      <c r="F55" s="771"/>
      <c r="G55" s="289" t="s">
        <v>919</v>
      </c>
      <c r="H55" s="671" t="e">
        <f>SUM(#REF!)</f>
        <v>#REF!</v>
      </c>
      <c r="I55" s="674"/>
      <c r="J55" s="665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</row>
    <row r="56" spans="1:68" s="204" customFormat="1" ht="45.75" hidden="1" customHeight="1">
      <c r="A56" s="775"/>
      <c r="B56" s="773"/>
      <c r="C56" s="774" t="s">
        <v>940</v>
      </c>
      <c r="D56" s="774"/>
      <c r="E56" s="774"/>
      <c r="F56" s="774"/>
      <c r="G56" s="775" t="s">
        <v>920</v>
      </c>
      <c r="H56" s="776" t="s">
        <v>34</v>
      </c>
      <c r="I56" s="674"/>
      <c r="J56" s="665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</row>
    <row r="57" spans="1:68" s="204" customFormat="1" ht="24.75" hidden="1" customHeight="1">
      <c r="A57" s="775"/>
      <c r="B57" s="773"/>
      <c r="C57" s="645" t="s">
        <v>713</v>
      </c>
      <c r="D57" s="652" t="e">
        <f>#REF!</f>
        <v>#REF!</v>
      </c>
      <c r="E57" s="290" t="str">
        <f>G56</f>
        <v>m2</v>
      </c>
      <c r="F57" s="652" t="s">
        <v>811</v>
      </c>
      <c r="G57" s="775"/>
      <c r="H57" s="776"/>
      <c r="I57" s="674"/>
      <c r="J57" s="665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</row>
    <row r="58" spans="1:68" s="204" customFormat="1" ht="34.5" hidden="1" customHeight="1">
      <c r="A58" s="64" t="s">
        <v>34</v>
      </c>
      <c r="B58" s="276" t="s">
        <v>848</v>
      </c>
      <c r="C58" s="741" t="s">
        <v>849</v>
      </c>
      <c r="D58" s="741" t="s">
        <v>8</v>
      </c>
      <c r="E58" s="741"/>
      <c r="F58" s="741"/>
      <c r="G58" s="655" t="s">
        <v>8</v>
      </c>
      <c r="H58" s="655"/>
      <c r="I58" s="674"/>
      <c r="J58" s="665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</row>
    <row r="59" spans="1:68" s="204" customFormat="1" ht="20.25" hidden="1" customHeight="1">
      <c r="A59" s="458">
        <v>29</v>
      </c>
      <c r="B59" s="656" t="s">
        <v>846</v>
      </c>
      <c r="C59" s="771" t="s">
        <v>844</v>
      </c>
      <c r="D59" s="771"/>
      <c r="E59" s="771"/>
      <c r="F59" s="771"/>
      <c r="G59" s="289" t="s">
        <v>919</v>
      </c>
      <c r="H59" s="671" t="e">
        <f>SUM(#REF!)</f>
        <v>#REF!</v>
      </c>
      <c r="I59" s="674"/>
      <c r="J59" s="665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</row>
    <row r="60" spans="1:68" s="204" customFormat="1" ht="47.25" hidden="1" customHeight="1">
      <c r="A60" s="772"/>
      <c r="B60" s="773"/>
      <c r="C60" s="774" t="s">
        <v>843</v>
      </c>
      <c r="D60" s="774"/>
      <c r="E60" s="774"/>
      <c r="F60" s="774"/>
      <c r="G60" s="775" t="s">
        <v>920</v>
      </c>
      <c r="H60" s="776" t="s">
        <v>34</v>
      </c>
      <c r="I60" s="674"/>
      <c r="J60" s="665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</row>
    <row r="61" spans="1:68" s="204" customFormat="1" ht="20.25" hidden="1" customHeight="1">
      <c r="A61" s="772"/>
      <c r="B61" s="773"/>
      <c r="C61" s="645" t="s">
        <v>713</v>
      </c>
      <c r="D61" s="652" t="e">
        <f>#REF!</f>
        <v>#REF!</v>
      </c>
      <c r="E61" s="290" t="str">
        <f>G60</f>
        <v>m2</v>
      </c>
      <c r="F61" s="652" t="s">
        <v>811</v>
      </c>
      <c r="G61" s="775"/>
      <c r="H61" s="776"/>
      <c r="I61" s="674"/>
      <c r="J61" s="665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</row>
    <row r="62" spans="1:68" s="204" customFormat="1" ht="20.25" hidden="1" customHeight="1">
      <c r="A62" s="458">
        <v>30</v>
      </c>
      <c r="B62" s="656" t="s">
        <v>851</v>
      </c>
      <c r="C62" s="771" t="s">
        <v>852</v>
      </c>
      <c r="D62" s="771"/>
      <c r="E62" s="771"/>
      <c r="F62" s="771"/>
      <c r="G62" s="289" t="s">
        <v>919</v>
      </c>
      <c r="H62" s="671" t="e">
        <f>SUM(#REF!)</f>
        <v>#REF!</v>
      </c>
      <c r="I62" s="674"/>
      <c r="J62" s="665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</row>
    <row r="63" spans="1:68" s="204" customFormat="1" ht="45.75" hidden="1" customHeight="1">
      <c r="A63" s="772"/>
      <c r="B63" s="773"/>
      <c r="C63" s="774" t="s">
        <v>853</v>
      </c>
      <c r="D63" s="774"/>
      <c r="E63" s="774"/>
      <c r="F63" s="774"/>
      <c r="G63" s="775" t="s">
        <v>920</v>
      </c>
      <c r="H63" s="776" t="s">
        <v>34</v>
      </c>
      <c r="I63" s="674"/>
      <c r="J63" s="665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</row>
    <row r="64" spans="1:68" s="204" customFormat="1" ht="20.25" hidden="1" customHeight="1">
      <c r="A64" s="772"/>
      <c r="B64" s="773"/>
      <c r="C64" s="645" t="s">
        <v>713</v>
      </c>
      <c r="D64" s="652" t="e">
        <f>#REF!</f>
        <v>#REF!</v>
      </c>
      <c r="E64" s="290" t="str">
        <f>G63</f>
        <v>m2</v>
      </c>
      <c r="F64" s="652" t="s">
        <v>811</v>
      </c>
      <c r="G64" s="775"/>
      <c r="H64" s="776"/>
      <c r="I64" s="674"/>
      <c r="J64" s="665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</row>
    <row r="65" spans="1:68" s="204" customFormat="1" ht="20.25" customHeight="1">
      <c r="A65" s="571"/>
      <c r="B65" s="64" t="s">
        <v>116</v>
      </c>
      <c r="C65" s="736" t="s">
        <v>776</v>
      </c>
      <c r="D65" s="736"/>
      <c r="E65" s="736"/>
      <c r="F65" s="736"/>
      <c r="G65" s="736"/>
      <c r="H65" s="736"/>
      <c r="I65" s="736"/>
      <c r="J65" s="736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</row>
    <row r="66" spans="1:68" s="204" customFormat="1" ht="30.75" customHeight="1">
      <c r="A66" s="679" t="s">
        <v>1029</v>
      </c>
      <c r="B66" s="564" t="s">
        <v>213</v>
      </c>
      <c r="C66" s="769" t="s">
        <v>1021</v>
      </c>
      <c r="D66" s="769"/>
      <c r="E66" s="769"/>
      <c r="F66" s="769"/>
      <c r="G66" s="458" t="s">
        <v>176</v>
      </c>
      <c r="H66" s="566">
        <v>310</v>
      </c>
      <c r="I66" s="389"/>
      <c r="J66" s="662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</row>
    <row r="67" spans="1:68" s="204" customFormat="1" ht="22.5" customHeight="1">
      <c r="A67" s="64" t="s">
        <v>34</v>
      </c>
      <c r="B67" s="64" t="s">
        <v>21</v>
      </c>
      <c r="C67" s="736" t="s">
        <v>1078</v>
      </c>
      <c r="D67" s="736"/>
      <c r="E67" s="736"/>
      <c r="F67" s="736"/>
      <c r="G67" s="736"/>
      <c r="H67" s="736"/>
      <c r="I67" s="736"/>
      <c r="J67" s="736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</row>
    <row r="68" spans="1:68" s="204" customFormat="1" ht="30.75" hidden="1" customHeight="1">
      <c r="A68" s="289">
        <v>45</v>
      </c>
      <c r="B68" s="656" t="s">
        <v>816</v>
      </c>
      <c r="C68" s="771" t="s">
        <v>935</v>
      </c>
      <c r="D68" s="771"/>
      <c r="E68" s="771"/>
      <c r="F68" s="771"/>
      <c r="G68" s="289" t="s">
        <v>924</v>
      </c>
      <c r="H68" s="671" t="e">
        <f>SUM(#REF!)</f>
        <v>#REF!</v>
      </c>
      <c r="I68" s="674"/>
      <c r="J68" s="665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</row>
    <row r="69" spans="1:68" s="204" customFormat="1" ht="36.75" hidden="1" customHeight="1">
      <c r="A69" s="775"/>
      <c r="B69" s="777"/>
      <c r="C69" s="774" t="s">
        <v>936</v>
      </c>
      <c r="D69" s="774"/>
      <c r="E69" s="774"/>
      <c r="F69" s="774"/>
      <c r="G69" s="775" t="s">
        <v>924</v>
      </c>
      <c r="H69" s="776" t="s">
        <v>34</v>
      </c>
      <c r="I69" s="674"/>
      <c r="J69" s="665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</row>
    <row r="70" spans="1:68" s="204" customFormat="1" ht="30" hidden="1" customHeight="1">
      <c r="A70" s="775"/>
      <c r="B70" s="777"/>
      <c r="C70" s="645" t="s">
        <v>713</v>
      </c>
      <c r="D70" s="652" t="e">
        <f>#REF!</f>
        <v>#REF!</v>
      </c>
      <c r="E70" s="290" t="s">
        <v>924</v>
      </c>
      <c r="F70" s="652" t="s">
        <v>716</v>
      </c>
      <c r="G70" s="775"/>
      <c r="H70" s="776"/>
      <c r="I70" s="674"/>
      <c r="J70" s="665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</row>
    <row r="71" spans="1:68" s="204" customFormat="1" ht="43.5" customHeight="1">
      <c r="A71" s="86">
        <v>10</v>
      </c>
      <c r="B71" s="564" t="s">
        <v>1008</v>
      </c>
      <c r="C71" s="778" t="s">
        <v>1079</v>
      </c>
      <c r="D71" s="778"/>
      <c r="E71" s="778"/>
      <c r="F71" s="778"/>
      <c r="G71" s="86" t="s">
        <v>176</v>
      </c>
      <c r="H71" s="694">
        <v>2500</v>
      </c>
      <c r="I71" s="77"/>
      <c r="J71" s="662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</row>
    <row r="72" spans="1:68" s="204" customFormat="1" ht="27.75" hidden="1" customHeight="1">
      <c r="A72" s="772"/>
      <c r="B72" s="815"/>
      <c r="C72" s="781" t="s">
        <v>979</v>
      </c>
      <c r="D72" s="781"/>
      <c r="E72" s="781"/>
      <c r="F72" s="781"/>
      <c r="G72" s="772" t="s">
        <v>177</v>
      </c>
      <c r="H72" s="782" t="s">
        <v>34</v>
      </c>
      <c r="I72" s="566"/>
      <c r="J72" s="662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</row>
    <row r="73" spans="1:68" s="204" customFormat="1" ht="20.25" hidden="1" customHeight="1">
      <c r="A73" s="772"/>
      <c r="B73" s="815"/>
      <c r="C73" s="672" t="s">
        <v>713</v>
      </c>
      <c r="D73" s="67" t="e">
        <f>#REF!</f>
        <v>#REF!</v>
      </c>
      <c r="E73" s="109" t="str">
        <f>G72</f>
        <v>m2</v>
      </c>
      <c r="F73" s="67" t="s">
        <v>973</v>
      </c>
      <c r="G73" s="772"/>
      <c r="H73" s="782"/>
      <c r="I73" s="566"/>
      <c r="J73" s="662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</row>
    <row r="74" spans="1:68" s="204" customFormat="1" ht="31.5" hidden="1" customHeight="1">
      <c r="A74" s="772"/>
      <c r="B74" s="819"/>
      <c r="C74" s="781" t="s">
        <v>980</v>
      </c>
      <c r="D74" s="781"/>
      <c r="E74" s="781"/>
      <c r="F74" s="781"/>
      <c r="G74" s="772" t="s">
        <v>177</v>
      </c>
      <c r="H74" s="782" t="s">
        <v>34</v>
      </c>
      <c r="I74" s="674"/>
      <c r="J74" s="665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</row>
    <row r="75" spans="1:68" s="204" customFormat="1" ht="20.25" hidden="1" customHeight="1">
      <c r="A75" s="772"/>
      <c r="B75" s="819"/>
      <c r="C75" s="672" t="s">
        <v>713</v>
      </c>
      <c r="D75" s="67" t="e">
        <f>#REF!</f>
        <v>#REF!</v>
      </c>
      <c r="E75" s="109" t="str">
        <f>G74</f>
        <v>m2</v>
      </c>
      <c r="F75" s="67" t="s">
        <v>716</v>
      </c>
      <c r="G75" s="772"/>
      <c r="H75" s="782"/>
      <c r="I75" s="674"/>
      <c r="J75" s="665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</row>
    <row r="76" spans="1:68" s="643" customFormat="1" ht="29.25" hidden="1" customHeight="1">
      <c r="A76" s="289">
        <v>33</v>
      </c>
      <c r="B76" s="651" t="s">
        <v>220</v>
      </c>
      <c r="C76" s="771" t="s">
        <v>921</v>
      </c>
      <c r="D76" s="771"/>
      <c r="E76" s="771"/>
      <c r="F76" s="771"/>
      <c r="G76" s="289" t="s">
        <v>919</v>
      </c>
      <c r="H76" s="671" t="e">
        <f>SUM(#REF!)</f>
        <v>#REF!</v>
      </c>
      <c r="I76" s="675"/>
      <c r="J76" s="663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320"/>
      <c r="AK76" s="320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  <c r="AW76" s="320"/>
      <c r="AX76" s="320"/>
      <c r="AY76" s="320"/>
      <c r="AZ76" s="320"/>
      <c r="BA76" s="320"/>
      <c r="BB76" s="320"/>
      <c r="BC76" s="320"/>
      <c r="BD76" s="320"/>
      <c r="BE76" s="320"/>
      <c r="BF76" s="320"/>
      <c r="BG76" s="320"/>
      <c r="BH76" s="320"/>
      <c r="BI76" s="320"/>
      <c r="BJ76" s="320"/>
    </row>
    <row r="77" spans="1:68" s="643" customFormat="1" ht="35.25" hidden="1" customHeight="1">
      <c r="A77" s="775"/>
      <c r="B77" s="773"/>
      <c r="C77" s="774" t="s">
        <v>823</v>
      </c>
      <c r="D77" s="774"/>
      <c r="E77" s="774"/>
      <c r="F77" s="774"/>
      <c r="G77" s="775" t="s">
        <v>920</v>
      </c>
      <c r="H77" s="776" t="s">
        <v>34</v>
      </c>
      <c r="I77" s="675"/>
      <c r="J77" s="663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0"/>
      <c r="AJ77" s="320"/>
      <c r="AK77" s="320"/>
      <c r="AL77" s="320"/>
      <c r="AM77" s="320"/>
      <c r="AN77" s="320"/>
      <c r="AO77" s="320"/>
      <c r="AP77" s="320"/>
      <c r="AQ77" s="320"/>
      <c r="AR77" s="320"/>
      <c r="AS77" s="320"/>
      <c r="AT77" s="320"/>
      <c r="AU77" s="320"/>
      <c r="AV77" s="320"/>
      <c r="AW77" s="320"/>
      <c r="AX77" s="320"/>
      <c r="AY77" s="320"/>
      <c r="AZ77" s="320"/>
      <c r="BA77" s="320"/>
      <c r="BB77" s="320"/>
      <c r="BC77" s="320"/>
      <c r="BD77" s="320"/>
      <c r="BE77" s="320"/>
      <c r="BF77" s="320"/>
      <c r="BG77" s="320"/>
      <c r="BH77" s="320"/>
      <c r="BI77" s="320"/>
      <c r="BJ77" s="320"/>
      <c r="BK77" s="320"/>
      <c r="BL77" s="320"/>
      <c r="BM77" s="320"/>
      <c r="BN77" s="320"/>
      <c r="BO77" s="320"/>
      <c r="BP77" s="320"/>
    </row>
    <row r="78" spans="1:68" s="643" customFormat="1" ht="20.25" hidden="1" customHeight="1">
      <c r="A78" s="775"/>
      <c r="B78" s="773"/>
      <c r="C78" s="645" t="s">
        <v>713</v>
      </c>
      <c r="D78" s="652" t="e">
        <f>#REF!</f>
        <v>#REF!</v>
      </c>
      <c r="E78" s="290" t="str">
        <f>G77</f>
        <v>m2</v>
      </c>
      <c r="F78" s="652" t="s">
        <v>811</v>
      </c>
      <c r="G78" s="775"/>
      <c r="H78" s="776"/>
      <c r="I78" s="675"/>
      <c r="J78" s="663"/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/>
      <c r="V78" s="320"/>
      <c r="W78" s="320"/>
      <c r="X78" s="320"/>
      <c r="Y78" s="320"/>
      <c r="Z78" s="320"/>
      <c r="AA78" s="320"/>
      <c r="AB78" s="320"/>
      <c r="AC78" s="320"/>
      <c r="AD78" s="320"/>
      <c r="AE78" s="320"/>
      <c r="AF78" s="320"/>
      <c r="AG78" s="320"/>
      <c r="AH78" s="320"/>
      <c r="AI78" s="320"/>
      <c r="AJ78" s="320"/>
      <c r="AK78" s="320"/>
      <c r="AL78" s="320"/>
      <c r="AM78" s="320"/>
      <c r="AN78" s="320"/>
      <c r="AO78" s="320"/>
      <c r="AP78" s="320"/>
      <c r="AQ78" s="320"/>
      <c r="AR78" s="320"/>
      <c r="AS78" s="320"/>
      <c r="AT78" s="320"/>
      <c r="AU78" s="320"/>
      <c r="AV78" s="320"/>
      <c r="AW78" s="320"/>
      <c r="AX78" s="320"/>
      <c r="AY78" s="320"/>
      <c r="AZ78" s="320"/>
      <c r="BA78" s="320"/>
      <c r="BB78" s="320"/>
      <c r="BC78" s="320"/>
      <c r="BD78" s="320"/>
      <c r="BE78" s="320"/>
      <c r="BF78" s="320"/>
      <c r="BG78" s="320"/>
      <c r="BH78" s="320"/>
      <c r="BI78" s="320"/>
      <c r="BJ78" s="320"/>
      <c r="BK78" s="320"/>
      <c r="BL78" s="320"/>
      <c r="BM78" s="320"/>
      <c r="BN78" s="320"/>
      <c r="BO78" s="320"/>
      <c r="BP78" s="320"/>
    </row>
    <row r="79" spans="1:68" s="204" customFormat="1" ht="20.25" hidden="1" customHeight="1">
      <c r="A79" s="276" t="s">
        <v>34</v>
      </c>
      <c r="B79" s="678" t="s">
        <v>331</v>
      </c>
      <c r="C79" s="741" t="s">
        <v>332</v>
      </c>
      <c r="D79" s="741"/>
      <c r="E79" s="741"/>
      <c r="F79" s="741"/>
      <c r="G79" s="741" t="s">
        <v>8</v>
      </c>
      <c r="H79" s="741"/>
      <c r="I79" s="674"/>
      <c r="J79" s="665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</row>
    <row r="80" spans="1:68" s="204" customFormat="1" ht="20.25" hidden="1" customHeight="1">
      <c r="A80" s="593">
        <v>48</v>
      </c>
      <c r="B80" s="656" t="s">
        <v>948</v>
      </c>
      <c r="C80" s="771" t="s">
        <v>922</v>
      </c>
      <c r="D80" s="771"/>
      <c r="E80" s="771"/>
      <c r="F80" s="771"/>
      <c r="G80" s="289" t="s">
        <v>919</v>
      </c>
      <c r="H80" s="671" t="e">
        <f>SUM(#REF!)</f>
        <v>#REF!</v>
      </c>
      <c r="I80" s="674"/>
      <c r="J80" s="665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</row>
    <row r="81" spans="1:68" s="466" customFormat="1" ht="60" hidden="1" customHeight="1">
      <c r="A81" s="775"/>
      <c r="B81" s="773"/>
      <c r="C81" s="774" t="s">
        <v>938</v>
      </c>
      <c r="D81" s="774"/>
      <c r="E81" s="774"/>
      <c r="F81" s="774"/>
      <c r="G81" s="775" t="s">
        <v>920</v>
      </c>
      <c r="H81" s="776" t="s">
        <v>34</v>
      </c>
      <c r="I81" s="676"/>
      <c r="J81" s="667"/>
      <c r="K81" s="465"/>
      <c r="L81" s="465"/>
      <c r="M81" s="465"/>
      <c r="N81" s="465"/>
      <c r="O81" s="465"/>
      <c r="P81" s="465"/>
      <c r="Q81" s="465"/>
      <c r="R81" s="465"/>
      <c r="S81" s="465"/>
      <c r="T81" s="465"/>
      <c r="U81" s="465"/>
      <c r="V81" s="465"/>
      <c r="W81" s="465"/>
      <c r="X81" s="465"/>
      <c r="Y81" s="465"/>
      <c r="Z81" s="465"/>
      <c r="AA81" s="465"/>
      <c r="AB81" s="465"/>
      <c r="AC81" s="465"/>
      <c r="AD81" s="465"/>
      <c r="AE81" s="465"/>
      <c r="AF81" s="465"/>
      <c r="AG81" s="465"/>
      <c r="AH81" s="465"/>
      <c r="AI81" s="465"/>
      <c r="AJ81" s="465"/>
      <c r="AK81" s="465"/>
      <c r="AL81" s="465"/>
      <c r="AM81" s="465"/>
      <c r="AN81" s="465"/>
      <c r="AO81" s="465"/>
      <c r="AP81" s="465"/>
      <c r="AQ81" s="465"/>
      <c r="AR81" s="465"/>
      <c r="AS81" s="465"/>
      <c r="AT81" s="465"/>
      <c r="AU81" s="465"/>
      <c r="AV81" s="465"/>
      <c r="AW81" s="465"/>
      <c r="AX81" s="465"/>
      <c r="AY81" s="465"/>
      <c r="AZ81" s="465"/>
      <c r="BA81" s="465"/>
      <c r="BB81" s="465"/>
      <c r="BC81" s="465"/>
      <c r="BD81" s="465"/>
      <c r="BE81" s="465"/>
      <c r="BF81" s="465"/>
      <c r="BG81" s="465"/>
      <c r="BH81" s="465"/>
      <c r="BI81" s="465"/>
      <c r="BJ81" s="465"/>
      <c r="BK81" s="465"/>
      <c r="BL81" s="465"/>
      <c r="BM81" s="465"/>
      <c r="BN81" s="465"/>
      <c r="BO81" s="465"/>
      <c r="BP81" s="465"/>
    </row>
    <row r="82" spans="1:68" s="204" customFormat="1" ht="20.25" hidden="1" customHeight="1">
      <c r="A82" s="775"/>
      <c r="B82" s="773"/>
      <c r="C82" s="645" t="s">
        <v>713</v>
      </c>
      <c r="D82" s="652" t="e">
        <f>#REF!</f>
        <v>#REF!</v>
      </c>
      <c r="E82" s="290" t="str">
        <f>G81</f>
        <v>m2</v>
      </c>
      <c r="F82" s="652" t="s">
        <v>716</v>
      </c>
      <c r="G82" s="775"/>
      <c r="H82" s="776"/>
      <c r="I82" s="674"/>
      <c r="J82" s="665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</row>
    <row r="83" spans="1:68" s="204" customFormat="1" ht="39" hidden="1" customHeight="1">
      <c r="A83" s="775"/>
      <c r="B83" s="773"/>
      <c r="C83" s="774" t="s">
        <v>937</v>
      </c>
      <c r="D83" s="774"/>
      <c r="E83" s="774"/>
      <c r="F83" s="774"/>
      <c r="G83" s="775" t="s">
        <v>11</v>
      </c>
      <c r="H83" s="776" t="s">
        <v>34</v>
      </c>
      <c r="I83" s="674"/>
      <c r="J83" s="665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</row>
    <row r="84" spans="1:68" s="204" customFormat="1" ht="20.25" hidden="1" customHeight="1">
      <c r="A84" s="775"/>
      <c r="B84" s="773"/>
      <c r="C84" s="645" t="s">
        <v>712</v>
      </c>
      <c r="D84" s="652" t="e">
        <f>#REF!</f>
        <v>#REF!</v>
      </c>
      <c r="E84" s="290" t="s">
        <v>11</v>
      </c>
      <c r="F84" s="652" t="s">
        <v>716</v>
      </c>
      <c r="G84" s="775"/>
      <c r="H84" s="776"/>
      <c r="I84" s="674"/>
      <c r="J84" s="665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</row>
    <row r="85" spans="1:68" s="204" customFormat="1" ht="20.25" hidden="1" customHeight="1">
      <c r="A85" s="276" t="s">
        <v>34</v>
      </c>
      <c r="B85" s="276" t="s">
        <v>335</v>
      </c>
      <c r="C85" s="741" t="s">
        <v>828</v>
      </c>
      <c r="D85" s="741"/>
      <c r="E85" s="741"/>
      <c r="F85" s="741"/>
      <c r="G85" s="741"/>
      <c r="H85" s="741"/>
      <c r="I85" s="674"/>
      <c r="J85" s="665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</row>
    <row r="86" spans="1:68" s="204" customFormat="1" ht="48" hidden="1" customHeight="1">
      <c r="A86" s="593">
        <v>49</v>
      </c>
      <c r="B86" s="656" t="s">
        <v>337</v>
      </c>
      <c r="C86" s="820" t="s">
        <v>968</v>
      </c>
      <c r="D86" s="820"/>
      <c r="E86" s="820"/>
      <c r="F86" s="820"/>
      <c r="G86" s="289" t="s">
        <v>919</v>
      </c>
      <c r="H86" s="671" t="e">
        <f>SUM(#REF!)</f>
        <v>#REF!</v>
      </c>
      <c r="I86" s="674"/>
      <c r="J86" s="665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</row>
    <row r="87" spans="1:68" s="204" customFormat="1" ht="42" hidden="1" customHeight="1">
      <c r="A87" s="810"/>
      <c r="B87" s="821"/>
      <c r="C87" s="774" t="s">
        <v>923</v>
      </c>
      <c r="D87" s="774"/>
      <c r="E87" s="774"/>
      <c r="F87" s="774"/>
      <c r="G87" s="775" t="s">
        <v>920</v>
      </c>
      <c r="H87" s="776" t="s">
        <v>34</v>
      </c>
      <c r="I87" s="674"/>
      <c r="J87" s="665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</row>
    <row r="88" spans="1:68" s="204" customFormat="1" ht="24" hidden="1" customHeight="1">
      <c r="A88" s="810"/>
      <c r="B88" s="821"/>
      <c r="C88" s="645" t="s">
        <v>713</v>
      </c>
      <c r="D88" s="652" t="e">
        <f>#REF!</f>
        <v>#REF!</v>
      </c>
      <c r="E88" s="290" t="str">
        <f>G87</f>
        <v>m2</v>
      </c>
      <c r="F88" s="652" t="s">
        <v>716</v>
      </c>
      <c r="G88" s="775"/>
      <c r="H88" s="776"/>
      <c r="I88" s="674"/>
      <c r="J88" s="665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</row>
    <row r="89" spans="1:68" s="204" customFormat="1" ht="20.25" hidden="1" customHeight="1">
      <c r="A89" s="731" t="s">
        <v>664</v>
      </c>
      <c r="B89" s="731"/>
      <c r="C89" s="731"/>
      <c r="D89" s="731"/>
      <c r="E89" s="731"/>
      <c r="F89" s="731"/>
      <c r="G89" s="731"/>
      <c r="H89" s="731"/>
      <c r="I89" s="674"/>
      <c r="J89" s="665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</row>
    <row r="90" spans="1:68" s="204" customFormat="1" ht="20.25" hidden="1" customHeight="1">
      <c r="A90" s="654"/>
      <c r="B90" s="654"/>
      <c r="C90" s="654"/>
      <c r="D90" s="654"/>
      <c r="E90" s="654"/>
      <c r="F90" s="654"/>
      <c r="G90" s="654"/>
      <c r="H90" s="654"/>
      <c r="I90" s="674"/>
      <c r="J90" s="665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</row>
    <row r="91" spans="1:68" s="41" customFormat="1" ht="35.25" customHeight="1">
      <c r="A91" s="21"/>
      <c r="B91" s="448" t="s">
        <v>60</v>
      </c>
      <c r="C91" s="737" t="s">
        <v>183</v>
      </c>
      <c r="D91" s="737"/>
      <c r="E91" s="737"/>
      <c r="F91" s="737"/>
      <c r="G91" s="737"/>
      <c r="H91" s="737"/>
      <c r="I91" s="737"/>
      <c r="J91" s="737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</row>
    <row r="92" spans="1:68" s="8" customFormat="1" ht="19.5" customHeight="1">
      <c r="A92" s="64" t="s">
        <v>34</v>
      </c>
      <c r="B92" s="571" t="s">
        <v>23</v>
      </c>
      <c r="C92" s="736" t="s">
        <v>167</v>
      </c>
      <c r="D92" s="736"/>
      <c r="E92" s="736"/>
      <c r="F92" s="736"/>
      <c r="G92" s="736" t="s">
        <v>8</v>
      </c>
      <c r="H92" s="736"/>
      <c r="I92" s="736"/>
      <c r="J92" s="736"/>
    </row>
    <row r="93" spans="1:68" s="11" customFormat="1" ht="28.5" customHeight="1">
      <c r="A93" s="86">
        <v>11</v>
      </c>
      <c r="B93" s="432" t="s">
        <v>0</v>
      </c>
      <c r="C93" s="778" t="s">
        <v>74</v>
      </c>
      <c r="D93" s="778"/>
      <c r="E93" s="778"/>
      <c r="F93" s="778"/>
      <c r="G93" s="86" t="s">
        <v>176</v>
      </c>
      <c r="H93" s="566">
        <v>1400</v>
      </c>
      <c r="I93" s="566"/>
      <c r="J93" s="662"/>
    </row>
    <row r="94" spans="1:68" s="8" customFormat="1" ht="38.25" hidden="1" customHeight="1">
      <c r="A94" s="779"/>
      <c r="B94" s="780"/>
      <c r="C94" s="781" t="s">
        <v>983</v>
      </c>
      <c r="D94" s="781"/>
      <c r="E94" s="781"/>
      <c r="F94" s="781"/>
      <c r="G94" s="772" t="s">
        <v>177</v>
      </c>
      <c r="H94" s="822" t="s">
        <v>34</v>
      </c>
      <c r="I94" s="106"/>
      <c r="J94" s="662"/>
    </row>
    <row r="95" spans="1:68" s="8" customFormat="1" ht="16.5" hidden="1" customHeight="1">
      <c r="A95" s="779"/>
      <c r="B95" s="780"/>
      <c r="C95" s="672" t="s">
        <v>713</v>
      </c>
      <c r="D95" s="67" t="e">
        <f>#REF!</f>
        <v>#REF!</v>
      </c>
      <c r="E95" s="109" t="str">
        <f>G94</f>
        <v>m2</v>
      </c>
      <c r="F95" s="67" t="s">
        <v>715</v>
      </c>
      <c r="G95" s="772"/>
      <c r="H95" s="822"/>
      <c r="I95" s="106"/>
      <c r="J95" s="662"/>
    </row>
    <row r="96" spans="1:68" s="322" customFormat="1" ht="36.75" customHeight="1">
      <c r="A96" s="379">
        <v>12</v>
      </c>
      <c r="B96" s="564" t="s">
        <v>695</v>
      </c>
      <c r="C96" s="806" t="s">
        <v>1064</v>
      </c>
      <c r="D96" s="806"/>
      <c r="E96" s="806"/>
      <c r="F96" s="806"/>
      <c r="G96" s="86" t="s">
        <v>176</v>
      </c>
      <c r="H96" s="77">
        <f>800*0.4*4</f>
        <v>1280</v>
      </c>
      <c r="I96" s="566"/>
      <c r="J96" s="662"/>
    </row>
    <row r="97" spans="1:10" s="322" customFormat="1" ht="36.75" customHeight="1">
      <c r="A97" s="379">
        <v>13</v>
      </c>
      <c r="B97" s="564" t="s">
        <v>945</v>
      </c>
      <c r="C97" s="806" t="s">
        <v>1012</v>
      </c>
      <c r="D97" s="806"/>
      <c r="E97" s="806"/>
      <c r="F97" s="806"/>
      <c r="G97" s="86" t="s">
        <v>11</v>
      </c>
      <c r="H97" s="77">
        <f>800</f>
        <v>800</v>
      </c>
      <c r="I97" s="566"/>
      <c r="J97" s="662"/>
    </row>
    <row r="98" spans="1:10" s="8" customFormat="1" ht="19.5" customHeight="1">
      <c r="A98" s="64" t="s">
        <v>34</v>
      </c>
      <c r="B98" s="450" t="s">
        <v>976</v>
      </c>
      <c r="C98" s="736" t="s">
        <v>975</v>
      </c>
      <c r="D98" s="736"/>
      <c r="E98" s="736"/>
      <c r="F98" s="736"/>
      <c r="G98" s="736" t="s">
        <v>8</v>
      </c>
      <c r="H98" s="736"/>
      <c r="I98" s="736"/>
      <c r="J98" s="736"/>
    </row>
    <row r="99" spans="1:10" s="11" customFormat="1" ht="29.25" customHeight="1">
      <c r="A99" s="86">
        <v>14</v>
      </c>
      <c r="B99" s="432" t="s">
        <v>977</v>
      </c>
      <c r="C99" s="778" t="s">
        <v>1017</v>
      </c>
      <c r="D99" s="778"/>
      <c r="E99" s="778"/>
      <c r="F99" s="778"/>
      <c r="G99" s="86" t="s">
        <v>176</v>
      </c>
      <c r="H99" s="87">
        <v>700</v>
      </c>
      <c r="I99" s="77"/>
      <c r="J99" s="662"/>
    </row>
    <row r="100" spans="1:10" ht="21" customHeight="1">
      <c r="A100" s="783" t="s">
        <v>1014</v>
      </c>
      <c r="B100" s="783"/>
      <c r="C100" s="783"/>
      <c r="D100" s="783"/>
      <c r="E100" s="783"/>
      <c r="F100" s="783"/>
      <c r="G100" s="783"/>
      <c r="H100" s="783"/>
      <c r="I100" s="783"/>
      <c r="J100" s="592"/>
    </row>
    <row r="101" spans="1:10" ht="21" customHeight="1">
      <c r="A101" s="783" t="s">
        <v>76</v>
      </c>
      <c r="B101" s="783"/>
      <c r="C101" s="783"/>
      <c r="D101" s="783"/>
      <c r="E101" s="783"/>
      <c r="F101" s="783"/>
      <c r="G101" s="783"/>
      <c r="H101" s="783"/>
      <c r="I101" s="783"/>
      <c r="J101" s="592"/>
    </row>
    <row r="102" spans="1:10" ht="21" customHeight="1">
      <c r="A102" s="783" t="s">
        <v>90</v>
      </c>
      <c r="B102" s="783"/>
      <c r="C102" s="783"/>
      <c r="D102" s="783"/>
      <c r="E102" s="783"/>
      <c r="F102" s="783"/>
      <c r="G102" s="783"/>
      <c r="H102" s="783"/>
      <c r="I102" s="783"/>
      <c r="J102" s="592"/>
    </row>
    <row r="103" spans="1:10" ht="21" customHeight="1">
      <c r="A103" s="553"/>
      <c r="B103" s="553"/>
      <c r="C103" s="554"/>
      <c r="D103" s="556"/>
      <c r="E103" s="555"/>
      <c r="F103" s="555"/>
      <c r="G103" s="500"/>
      <c r="H103" s="547"/>
    </row>
    <row r="104" spans="1:10" ht="12.75" customHeight="1">
      <c r="B104" s="494"/>
      <c r="C104" s="507"/>
      <c r="D104" s="504"/>
      <c r="E104" s="494"/>
      <c r="F104" s="526"/>
      <c r="G104" s="526"/>
    </row>
    <row r="105" spans="1:10" ht="12.75" customHeight="1">
      <c r="B105" s="494"/>
      <c r="C105" s="507"/>
      <c r="D105" s="504"/>
      <c r="E105" s="494"/>
      <c r="F105" s="526"/>
      <c r="G105" s="526"/>
    </row>
    <row r="106" spans="1:10" ht="12.75" customHeight="1">
      <c r="B106" s="494"/>
      <c r="C106" s="507"/>
      <c r="D106" s="504"/>
      <c r="E106" s="494"/>
      <c r="F106" s="526"/>
      <c r="G106" s="526"/>
    </row>
    <row r="107" spans="1:10" ht="12.75" customHeight="1">
      <c r="B107" s="494"/>
      <c r="C107" s="507"/>
      <c r="D107" s="504"/>
      <c r="E107" s="494"/>
      <c r="F107" s="526"/>
      <c r="G107" s="526"/>
    </row>
  </sheetData>
  <mergeCells count="168">
    <mergeCell ref="C86:F86"/>
    <mergeCell ref="A87:A88"/>
    <mergeCell ref="B87:B88"/>
    <mergeCell ref="C87:F87"/>
    <mergeCell ref="G87:G88"/>
    <mergeCell ref="H87:H88"/>
    <mergeCell ref="A83:A84"/>
    <mergeCell ref="B83:B84"/>
    <mergeCell ref="A102:I102"/>
    <mergeCell ref="C98:J98"/>
    <mergeCell ref="C99:F99"/>
    <mergeCell ref="C97:F97"/>
    <mergeCell ref="C96:F96"/>
    <mergeCell ref="H94:H95"/>
    <mergeCell ref="A89:H89"/>
    <mergeCell ref="C91:J91"/>
    <mergeCell ref="C92:J92"/>
    <mergeCell ref="C93:F93"/>
    <mergeCell ref="A94:A95"/>
    <mergeCell ref="B94:B95"/>
    <mergeCell ref="C94:F94"/>
    <mergeCell ref="G94:G95"/>
    <mergeCell ref="C85:H85"/>
    <mergeCell ref="C83:F83"/>
    <mergeCell ref="C76:F76"/>
    <mergeCell ref="A77:A78"/>
    <mergeCell ref="B77:B78"/>
    <mergeCell ref="C77:F77"/>
    <mergeCell ref="G77:G78"/>
    <mergeCell ref="H72:H73"/>
    <mergeCell ref="A74:A75"/>
    <mergeCell ref="B74:B75"/>
    <mergeCell ref="C74:F74"/>
    <mergeCell ref="G74:G75"/>
    <mergeCell ref="H74:H75"/>
    <mergeCell ref="H77:H78"/>
    <mergeCell ref="G83:G84"/>
    <mergeCell ref="H83:H84"/>
    <mergeCell ref="C79:H79"/>
    <mergeCell ref="C80:F80"/>
    <mergeCell ref="A81:A82"/>
    <mergeCell ref="B81:B82"/>
    <mergeCell ref="C81:F81"/>
    <mergeCell ref="G81:G82"/>
    <mergeCell ref="H81:H82"/>
    <mergeCell ref="C71:F71"/>
    <mergeCell ref="A72:A73"/>
    <mergeCell ref="B72:B73"/>
    <mergeCell ref="C72:F72"/>
    <mergeCell ref="G72:G73"/>
    <mergeCell ref="H63:H64"/>
    <mergeCell ref="C67:J67"/>
    <mergeCell ref="C68:F68"/>
    <mergeCell ref="A69:A70"/>
    <mergeCell ref="B69:B70"/>
    <mergeCell ref="C69:F69"/>
    <mergeCell ref="G69:G70"/>
    <mergeCell ref="H69:H70"/>
    <mergeCell ref="C65:J65"/>
    <mergeCell ref="C62:F62"/>
    <mergeCell ref="A63:A64"/>
    <mergeCell ref="B63:B64"/>
    <mergeCell ref="C63:F63"/>
    <mergeCell ref="G63:G64"/>
    <mergeCell ref="H56:H57"/>
    <mergeCell ref="C58:F58"/>
    <mergeCell ref="C59:F59"/>
    <mergeCell ref="A60:A61"/>
    <mergeCell ref="B60:B61"/>
    <mergeCell ref="C60:F60"/>
    <mergeCell ref="G60:G61"/>
    <mergeCell ref="H60:H61"/>
    <mergeCell ref="C54:F54"/>
    <mergeCell ref="C55:F55"/>
    <mergeCell ref="A56:A57"/>
    <mergeCell ref="B56:B57"/>
    <mergeCell ref="C56:F56"/>
    <mergeCell ref="G56:G57"/>
    <mergeCell ref="C49:J49"/>
    <mergeCell ref="C50:H50"/>
    <mergeCell ref="C51:F51"/>
    <mergeCell ref="A52:A53"/>
    <mergeCell ref="B52:B53"/>
    <mergeCell ref="C52:F52"/>
    <mergeCell ref="G52:G53"/>
    <mergeCell ref="H52:H53"/>
    <mergeCell ref="C41:F41"/>
    <mergeCell ref="A44:H44"/>
    <mergeCell ref="C45:H45"/>
    <mergeCell ref="C46:F46"/>
    <mergeCell ref="A47:A48"/>
    <mergeCell ref="B47:B48"/>
    <mergeCell ref="C47:F47"/>
    <mergeCell ref="G47:G48"/>
    <mergeCell ref="H47:H48"/>
    <mergeCell ref="A42:A43"/>
    <mergeCell ref="B42:B43"/>
    <mergeCell ref="C42:F42"/>
    <mergeCell ref="G42:G43"/>
    <mergeCell ref="C34:F34"/>
    <mergeCell ref="C32:J32"/>
    <mergeCell ref="A100:I100"/>
    <mergeCell ref="A101:I101"/>
    <mergeCell ref="H30:H31"/>
    <mergeCell ref="C29:F29"/>
    <mergeCell ref="A30:A31"/>
    <mergeCell ref="B30:B31"/>
    <mergeCell ref="C30:F30"/>
    <mergeCell ref="G30:G31"/>
    <mergeCell ref="C66:F66"/>
    <mergeCell ref="C37:J37"/>
    <mergeCell ref="C38:F38"/>
    <mergeCell ref="A39:A40"/>
    <mergeCell ref="B39:B40"/>
    <mergeCell ref="C39:F39"/>
    <mergeCell ref="G39:G40"/>
    <mergeCell ref="H39:H40"/>
    <mergeCell ref="H42:H43"/>
    <mergeCell ref="A35:A36"/>
    <mergeCell ref="B35:B36"/>
    <mergeCell ref="C35:F35"/>
    <mergeCell ref="G35:G36"/>
    <mergeCell ref="H35:H36"/>
    <mergeCell ref="M16:P16"/>
    <mergeCell ref="C13:F13"/>
    <mergeCell ref="C14:J14"/>
    <mergeCell ref="C24:J24"/>
    <mergeCell ref="C25:J25"/>
    <mergeCell ref="C26:F26"/>
    <mergeCell ref="A27:A28"/>
    <mergeCell ref="B27:B28"/>
    <mergeCell ref="C27:F27"/>
    <mergeCell ref="G27:G28"/>
    <mergeCell ref="H27:H28"/>
    <mergeCell ref="C19:J19"/>
    <mergeCell ref="C20:J20"/>
    <mergeCell ref="C21:F21"/>
    <mergeCell ref="A22:A23"/>
    <mergeCell ref="B22:B23"/>
    <mergeCell ref="C22:F22"/>
    <mergeCell ref="G22:G23"/>
    <mergeCell ref="H22:H23"/>
    <mergeCell ref="A1:J1"/>
    <mergeCell ref="A2:J2"/>
    <mergeCell ref="C3:F3"/>
    <mergeCell ref="B4:J4"/>
    <mergeCell ref="C5:J5"/>
    <mergeCell ref="A6:A7"/>
    <mergeCell ref="B6:B7"/>
    <mergeCell ref="C6:F6"/>
    <mergeCell ref="G6:G7"/>
    <mergeCell ref="C33:F33"/>
    <mergeCell ref="H6:H7"/>
    <mergeCell ref="C8:J8"/>
    <mergeCell ref="C9:F9"/>
    <mergeCell ref="A10:A11"/>
    <mergeCell ref="B10:B11"/>
    <mergeCell ref="C10:F10"/>
    <mergeCell ref="G10:G11"/>
    <mergeCell ref="H10:H11"/>
    <mergeCell ref="C18:F18"/>
    <mergeCell ref="C15:F15"/>
    <mergeCell ref="A16:A17"/>
    <mergeCell ref="B16:B17"/>
    <mergeCell ref="C16:F16"/>
    <mergeCell ref="G16:G17"/>
    <mergeCell ref="H16:H17"/>
    <mergeCell ref="C12:J12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Y78"/>
  <sheetViews>
    <sheetView view="pageBreakPreview" zoomScaleNormal="100" zoomScaleSheetLayoutView="100" workbookViewId="0">
      <selection activeCell="B5" sqref="B5:I5"/>
    </sheetView>
  </sheetViews>
  <sheetFormatPr defaultRowHeight="12.75"/>
  <cols>
    <col min="1" max="1" width="15.85546875" customWidth="1"/>
    <col min="4" max="4" width="16.85546875" customWidth="1"/>
    <col min="8" max="8" width="11.140625" customWidth="1"/>
    <col min="9" max="9" width="18.140625" customWidth="1"/>
    <col min="15" max="15" width="10.140625" bestFit="1" customWidth="1"/>
  </cols>
  <sheetData>
    <row r="1" spans="1:9">
      <c r="A1" s="25"/>
      <c r="B1" s="26"/>
      <c r="C1" s="27"/>
      <c r="D1" s="25"/>
      <c r="E1" s="28"/>
      <c r="F1" s="25"/>
      <c r="G1" s="29"/>
      <c r="H1" s="29"/>
      <c r="I1" s="29"/>
    </row>
    <row r="2" spans="1:9">
      <c r="A2" s="25"/>
      <c r="B2" s="26"/>
      <c r="C2" s="27"/>
      <c r="D2" s="25"/>
      <c r="E2" s="28"/>
      <c r="F2" s="25"/>
      <c r="G2" s="29"/>
      <c r="H2" s="29"/>
      <c r="I2" s="29"/>
    </row>
    <row r="3" spans="1:9" ht="30">
      <c r="A3" s="730" t="s">
        <v>68</v>
      </c>
      <c r="B3" s="730"/>
      <c r="C3" s="730"/>
      <c r="D3" s="730"/>
      <c r="E3" s="730"/>
      <c r="F3" s="730"/>
      <c r="G3" s="730"/>
      <c r="H3" s="730"/>
      <c r="I3" s="730"/>
    </row>
    <row r="4" spans="1:9" ht="96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9" ht="78" customHeight="1">
      <c r="A5" s="46" t="s">
        <v>39</v>
      </c>
      <c r="B5" s="725" t="e">
        <f>#REF!</f>
        <v>#REF!</v>
      </c>
      <c r="C5" s="725"/>
      <c r="D5" s="725"/>
      <c r="E5" s="725"/>
      <c r="F5" s="725"/>
      <c r="G5" s="725"/>
      <c r="H5" s="725"/>
      <c r="I5" s="725"/>
    </row>
    <row r="6" spans="1:9" ht="20.25" customHeight="1">
      <c r="A6" s="31"/>
      <c r="B6" s="31"/>
      <c r="C6" s="31"/>
      <c r="D6" s="31"/>
      <c r="E6" s="31"/>
      <c r="F6" s="31"/>
      <c r="G6" s="31"/>
      <c r="H6" s="31"/>
      <c r="I6" s="29"/>
    </row>
    <row r="7" spans="1:9" ht="60.75" customHeight="1">
      <c r="A7" s="46" t="s">
        <v>77</v>
      </c>
      <c r="B7" s="725" t="s">
        <v>222</v>
      </c>
      <c r="C7" s="725"/>
      <c r="D7" s="725"/>
      <c r="E7" s="725"/>
      <c r="F7" s="725"/>
      <c r="G7" s="725"/>
      <c r="H7" s="725"/>
      <c r="I7" s="725"/>
    </row>
    <row r="8" spans="1:9" ht="21" customHeight="1">
      <c r="A8" s="31"/>
      <c r="B8" s="31"/>
      <c r="C8" s="31"/>
      <c r="D8" s="31"/>
      <c r="E8" s="31"/>
      <c r="F8" s="31"/>
      <c r="G8" s="31"/>
      <c r="H8" s="31"/>
      <c r="I8" s="29"/>
    </row>
    <row r="9" spans="1:9" ht="66.75" customHeight="1">
      <c r="A9" s="46" t="s">
        <v>38</v>
      </c>
      <c r="B9" s="725" t="s">
        <v>653</v>
      </c>
      <c r="C9" s="725"/>
      <c r="D9" s="725"/>
      <c r="E9" s="725"/>
      <c r="F9" s="725"/>
      <c r="G9" s="725"/>
      <c r="H9" s="725"/>
      <c r="I9" s="725"/>
    </row>
    <row r="10" spans="1:9" ht="20.25" customHeight="1">
      <c r="A10" s="47"/>
      <c r="B10" s="31"/>
      <c r="C10" s="31"/>
      <c r="D10" s="31"/>
      <c r="E10" s="31"/>
      <c r="F10" s="31"/>
      <c r="G10" s="31"/>
      <c r="H10" s="31"/>
      <c r="I10" s="31"/>
    </row>
    <row r="11" spans="1:9" ht="38.25" customHeight="1">
      <c r="A11" s="46" t="s">
        <v>207</v>
      </c>
      <c r="B11" s="725" t="s">
        <v>667</v>
      </c>
      <c r="C11" s="725"/>
      <c r="D11" s="725"/>
      <c r="E11" s="725"/>
      <c r="F11" s="725"/>
      <c r="G11" s="725"/>
      <c r="H11" s="725"/>
      <c r="I11" s="725"/>
    </row>
    <row r="12" spans="1:9" ht="20.25">
      <c r="A12" s="32"/>
      <c r="B12" s="729"/>
      <c r="C12" s="729"/>
      <c r="D12" s="729"/>
      <c r="E12" s="729"/>
      <c r="F12" s="729"/>
      <c r="G12" s="729"/>
      <c r="H12" s="729"/>
      <c r="I12" s="729"/>
    </row>
    <row r="13" spans="1:9" ht="49.5" customHeight="1">
      <c r="A13" s="46" t="s">
        <v>78</v>
      </c>
      <c r="B13" s="725" t="s">
        <v>358</v>
      </c>
      <c r="C13" s="725"/>
      <c r="D13" s="725"/>
      <c r="E13" s="725"/>
      <c r="F13" s="725"/>
      <c r="G13" s="725"/>
      <c r="H13" s="725"/>
      <c r="I13" s="725"/>
    </row>
    <row r="14" spans="1:9">
      <c r="A14" s="25"/>
      <c r="B14" s="26"/>
      <c r="C14" s="27"/>
      <c r="D14" s="25"/>
      <c r="E14" s="28"/>
      <c r="F14" s="25"/>
      <c r="G14" s="29"/>
      <c r="H14" s="29"/>
      <c r="I14" s="29"/>
    </row>
    <row r="15" spans="1:9" ht="46.5" customHeight="1">
      <c r="A15" s="46" t="s">
        <v>79</v>
      </c>
      <c r="B15" s="726" t="s">
        <v>668</v>
      </c>
      <c r="C15" s="726"/>
      <c r="D15" s="726"/>
      <c r="E15" s="726"/>
      <c r="F15" s="726"/>
      <c r="G15" s="726"/>
      <c r="H15" s="726"/>
      <c r="I15" s="726"/>
    </row>
    <row r="16" spans="1:9" ht="15">
      <c r="A16" s="46"/>
      <c r="B16" s="46"/>
      <c r="C16" s="46"/>
      <c r="D16" s="46"/>
      <c r="E16" s="46"/>
      <c r="F16" s="46"/>
      <c r="G16" s="46"/>
      <c r="H16" s="46"/>
      <c r="I16" s="46"/>
    </row>
    <row r="17" spans="1:9" ht="15">
      <c r="A17" s="46"/>
      <c r="B17" s="46"/>
      <c r="C17" s="46"/>
      <c r="D17" s="46"/>
      <c r="E17" s="46"/>
      <c r="F17" s="46"/>
      <c r="G17" s="46"/>
      <c r="H17" s="46"/>
      <c r="I17" s="46"/>
    </row>
    <row r="18" spans="1:9" ht="18.75">
      <c r="A18" s="727" t="s">
        <v>122</v>
      </c>
      <c r="B18" s="727"/>
      <c r="C18" s="727"/>
      <c r="D18" s="727"/>
      <c r="E18" s="728"/>
      <c r="F18" s="728"/>
      <c r="G18" s="728"/>
      <c r="H18" s="728"/>
      <c r="I18" s="728"/>
    </row>
    <row r="19" spans="1:9">
      <c r="A19" s="25"/>
      <c r="B19" s="26"/>
      <c r="C19" s="27"/>
      <c r="D19" s="25"/>
      <c r="E19" s="28"/>
      <c r="F19" s="25"/>
      <c r="G19" s="29"/>
      <c r="H19" s="29"/>
      <c r="I19" s="29"/>
    </row>
    <row r="20" spans="1:9" ht="19.5" customHeight="1">
      <c r="A20" s="48" t="s">
        <v>41</v>
      </c>
      <c r="B20" s="722"/>
      <c r="C20" s="722"/>
      <c r="D20" s="722"/>
      <c r="E20" s="722"/>
      <c r="F20" s="722"/>
      <c r="G20" s="722"/>
      <c r="H20" s="722"/>
      <c r="I20" s="722"/>
    </row>
    <row r="21" spans="1:9">
      <c r="A21" s="25"/>
      <c r="B21" s="26"/>
      <c r="C21" s="27"/>
      <c r="D21" s="25"/>
      <c r="E21" s="28"/>
      <c r="F21" s="25"/>
      <c r="G21" s="29"/>
      <c r="H21" s="29"/>
      <c r="I21" s="29"/>
    </row>
    <row r="22" spans="1:9" ht="18.75">
      <c r="A22" s="727" t="s">
        <v>123</v>
      </c>
      <c r="B22" s="727"/>
      <c r="C22" s="727"/>
      <c r="D22" s="727">
        <f>[1]KI2!E26</f>
        <v>0</v>
      </c>
      <c r="E22" s="728"/>
      <c r="F22" s="728"/>
      <c r="G22" s="728"/>
      <c r="H22" s="728"/>
      <c r="I22" s="728"/>
    </row>
    <row r="23" spans="1:9">
      <c r="A23" s="25"/>
      <c r="B23" s="26"/>
      <c r="C23" s="27"/>
      <c r="D23" s="25"/>
      <c r="E23" s="28"/>
      <c r="F23" s="25"/>
      <c r="G23" s="29"/>
      <c r="H23" s="29"/>
      <c r="I23" s="29"/>
    </row>
    <row r="24" spans="1:9" ht="21" customHeight="1">
      <c r="A24" s="48" t="s">
        <v>41</v>
      </c>
      <c r="B24" s="722"/>
      <c r="C24" s="722"/>
      <c r="D24" s="722"/>
      <c r="E24" s="722"/>
      <c r="F24" s="722"/>
      <c r="G24" s="722"/>
      <c r="H24" s="722"/>
      <c r="I24" s="722"/>
    </row>
    <row r="25" spans="1:9">
      <c r="A25" s="25"/>
      <c r="B25" s="26"/>
      <c r="C25" s="27"/>
      <c r="D25" s="25"/>
      <c r="E25" s="28"/>
      <c r="F25" s="25"/>
      <c r="G25" s="29"/>
      <c r="H25" s="29"/>
      <c r="I25" s="29"/>
    </row>
    <row r="33" spans="2:8">
      <c r="B33" t="s">
        <v>80</v>
      </c>
      <c r="H33" t="s">
        <v>80</v>
      </c>
    </row>
    <row r="34" spans="2:8">
      <c r="B34" s="723" t="s">
        <v>81</v>
      </c>
      <c r="C34" s="723"/>
      <c r="H34" s="49" t="s">
        <v>38</v>
      </c>
    </row>
    <row r="66" spans="1:25">
      <c r="A66" s="225" t="e">
        <f>#REF!</f>
        <v>#REF!</v>
      </c>
      <c r="B66" s="226"/>
      <c r="C66" s="226"/>
      <c r="D66" s="226"/>
      <c r="E66" s="226"/>
      <c r="F66" s="226"/>
      <c r="G66" s="724" t="s">
        <v>353</v>
      </c>
      <c r="H66" s="724"/>
      <c r="I66" s="226"/>
      <c r="J66" s="226"/>
      <c r="K66" s="226"/>
      <c r="O66" s="225" t="e">
        <f>#REF!</f>
        <v>#REF!</v>
      </c>
      <c r="P66" s="226"/>
      <c r="Q66" s="226"/>
      <c r="R66" s="226"/>
      <c r="S66" s="226"/>
      <c r="T66" s="226"/>
      <c r="U66" s="724" t="s">
        <v>353</v>
      </c>
      <c r="V66" s="724"/>
      <c r="W66" s="226"/>
      <c r="X66" s="226"/>
      <c r="Y66" s="226"/>
    </row>
    <row r="67" spans="1:25">
      <c r="A67" s="227"/>
      <c r="B67" s="226"/>
      <c r="C67" s="228" t="s">
        <v>354</v>
      </c>
      <c r="D67" s="229" t="s">
        <v>355</v>
      </c>
      <c r="E67" s="228" t="s">
        <v>354</v>
      </c>
      <c r="F67" s="229" t="s">
        <v>355</v>
      </c>
      <c r="G67" s="228" t="s">
        <v>354</v>
      </c>
      <c r="H67" s="229" t="s">
        <v>355</v>
      </c>
      <c r="I67" s="230" t="s">
        <v>356</v>
      </c>
      <c r="J67" s="231" t="s">
        <v>357</v>
      </c>
      <c r="K67" s="226"/>
      <c r="O67" s="227"/>
      <c r="P67" s="226"/>
      <c r="Q67" s="228" t="s">
        <v>354</v>
      </c>
      <c r="R67" s="229" t="s">
        <v>355</v>
      </c>
      <c r="S67" s="228" t="s">
        <v>354</v>
      </c>
      <c r="T67" s="229" t="s">
        <v>355</v>
      </c>
      <c r="U67" s="228" t="s">
        <v>354</v>
      </c>
      <c r="V67" s="229" t="s">
        <v>355</v>
      </c>
      <c r="W67" s="230" t="s">
        <v>356</v>
      </c>
      <c r="X67" s="231" t="s">
        <v>357</v>
      </c>
      <c r="Y67" s="226"/>
    </row>
    <row r="68" spans="1:25">
      <c r="A68" s="226" t="e">
        <f>INT(A$66/10000000)</f>
        <v>#REF!</v>
      </c>
      <c r="B68" s="226"/>
      <c r="C68" s="232" t="e">
        <f>IF(AND(A68&gt;=0,A68&lt;=5),1,0)</f>
        <v>#REF!</v>
      </c>
      <c r="D68" s="232" t="e">
        <f>IF(AND(A68&gt;=6,A68&lt;=9),1,0)</f>
        <v>#REF!</v>
      </c>
      <c r="E68" s="233" t="e">
        <f>IF(A68=0,"",IF(A68=1,IF(A69=0,"dziesięć milionów ",""),IF(A68=2,"dwadzieścia ",IF(A68=3,"trzydzieści ",IF(A68=4,"czterdzieści ",IF(A68=5,"pięćdziesiąt ",""))))))</f>
        <v>#REF!</v>
      </c>
      <c r="F68" s="233" t="e">
        <f>IF(A68=6,"sześćdziesiąt ",IF(A68=7,"siedemdziesiąt ",IF(A68=8,"osiemdziesiąt ",IF(A68=9,"dziewięćdziesiąt ",""))))</f>
        <v>#REF!</v>
      </c>
      <c r="G68" s="226"/>
      <c r="H68" s="226"/>
      <c r="I68" s="226"/>
      <c r="J68" s="233" t="e">
        <f>IF(C68,E68&amp;I68,IF(D68,F68&amp;I68,""))</f>
        <v>#REF!</v>
      </c>
      <c r="K68" s="226"/>
      <c r="O68" s="226" t="e">
        <f>INT(O$66/10000000)</f>
        <v>#REF!</v>
      </c>
      <c r="P68" s="226"/>
      <c r="Q68" s="232" t="e">
        <f>IF(AND(O68&gt;=0,O68&lt;=5),1,0)</f>
        <v>#REF!</v>
      </c>
      <c r="R68" s="232" t="e">
        <f>IF(AND(O68&gt;=6,O68&lt;=9),1,0)</f>
        <v>#REF!</v>
      </c>
      <c r="S68" s="233" t="e">
        <f>IF(O68=0,"",IF(O68=1,IF(O69=0,"dziesięć milionów ",""),IF(O68=2,"dwadzieścia ",IF(O68=3,"trzydzieści ",IF(O68=4,"czterdzieści ",IF(O68=5,"pięćdziesiąt ",""))))))</f>
        <v>#REF!</v>
      </c>
      <c r="T68" s="233" t="e">
        <f>IF(O68=6,"sześćdziesiąt ",IF(O68=7,"siedemdziesiąt ",IF(O68=8,"osiemdziesiąt ",IF(O68=9,"dziewięćdziesiąt ",""))))</f>
        <v>#REF!</v>
      </c>
      <c r="U68" s="226"/>
      <c r="V68" s="226"/>
      <c r="W68" s="226"/>
      <c r="X68" s="233" t="e">
        <f>IF(Q68,S68&amp;W68,IF(R68,T68&amp;W68,""))</f>
        <v>#REF!</v>
      </c>
      <c r="Y68" s="226"/>
    </row>
    <row r="69" spans="1:25">
      <c r="A69" s="227" t="e">
        <f>INT(A$66/1000000)-A68*10</f>
        <v>#REF!</v>
      </c>
      <c r="B69" s="226"/>
      <c r="C69" s="232" t="e">
        <f t="shared" ref="C69:C75" si="0">IF(AND(A69&gt;=0,A69&lt;=5),1,0)</f>
        <v>#REF!</v>
      </c>
      <c r="D69" s="232" t="e">
        <f t="shared" ref="D69:D75" si="1">IF(AND(A69&gt;=6,A69&lt;=9),1,0)</f>
        <v>#REF!</v>
      </c>
      <c r="E69" s="233" t="e">
        <f>IF(A69=0,IF(AND(A68&lt;&gt;0,A68&lt;&gt;1),"milionów ",""),IF(A69=1,IF(A68=0,"jeden milion ","jeden milionów "),IF(A69=2,"dwa miliony ",IF(A69=3,"trzy miliony ",IF(A69=4,"cztery miliony ",IF(A69=5,"pięć milionów ",""))))))</f>
        <v>#REF!</v>
      </c>
      <c r="F69" s="233" t="e">
        <f>IF(A69=6,"sześć milionów ",IF(A69=7,"siedem milionów ",IF(A69=8,"osiem milionów ",IF(A69=9,"dziewięć milionów ",""))))</f>
        <v>#REF!</v>
      </c>
      <c r="G69" s="233" t="e">
        <f>IF(A69=0,"",IF(A69=1,"jedenaście milionów ",IF(A69=2,"dwanaście milionów ",IF(A69=3,"trzynaście milionów ",IF(A69=4,"czternaście milionów ",IF(A69=5,"piętnaście milionów ",""))))))</f>
        <v>#REF!</v>
      </c>
      <c r="H69" s="233" t="e">
        <f>IF(A69=6,"szesnaście milionów ",IF(A69=7,"siedemnaście milionów ",IF(A69=8,"osiemnaście milionów ",IF(A69=9,"dziewiętnaście milionów ",""))))</f>
        <v>#REF!</v>
      </c>
      <c r="I69" s="226"/>
      <c r="J69" s="233" t="e">
        <f>IF(A68=1,IF(C69,G69,IF(D69,H69)),IF(C69,E69,IF(D69,F69,"")))</f>
        <v>#REF!</v>
      </c>
      <c r="K69" s="226"/>
      <c r="O69" s="227" t="e">
        <f>INT(O$66/1000000)-O68*10</f>
        <v>#REF!</v>
      </c>
      <c r="P69" s="226"/>
      <c r="Q69" s="232" t="e">
        <f t="shared" ref="Q69:Q75" si="2">IF(AND(O69&gt;=0,O69&lt;=5),1,0)</f>
        <v>#REF!</v>
      </c>
      <c r="R69" s="232" t="e">
        <f t="shared" ref="R69:R75" si="3">IF(AND(O69&gt;=6,O69&lt;=9),1,0)</f>
        <v>#REF!</v>
      </c>
      <c r="S69" s="233" t="e">
        <f>IF(O69=0,IF(AND(O68&lt;&gt;0,O68&lt;&gt;1),"milionów ",""),IF(O69=1,IF(O68=0,"jeden milion ","jeden milionów "),IF(O69=2,"dwa miliony ",IF(O69=3,"trzy miliony ",IF(O69=4,"cztery miliony ",IF(O69=5,"pięć milionów ",""))))))</f>
        <v>#REF!</v>
      </c>
      <c r="T69" s="233" t="e">
        <f>IF(O69=6,"sześć milionów ",IF(O69=7,"siedem milionów ",IF(O69=8,"osiem milionów ",IF(O69=9,"dziewięć milionów ",""))))</f>
        <v>#REF!</v>
      </c>
      <c r="U69" s="233" t="e">
        <f>IF(O69=0,"",IF(O69=1,"jedenaście milionów ",IF(O69=2,"dwanaście milionów ",IF(O69=3,"trzynaście milionów ",IF(O69=4,"czternaście milionów ",IF(O69=5,"piętnaście milionów ",""))))))</f>
        <v>#REF!</v>
      </c>
      <c r="V69" s="233" t="e">
        <f>IF(O69=6,"szesnaście milionów ",IF(O69=7,"siedemnaście milionów ",IF(O69=8,"osiemnaście milionów ",IF(O69=9,"dziewiętnaście milionów ",""))))</f>
        <v>#REF!</v>
      </c>
      <c r="W69" s="226"/>
      <c r="X69" s="233" t="e">
        <f>IF(O68=1,IF(Q69,U69,IF(R69,V69)),IF(Q69,S69,IF(R69,T69,"")))</f>
        <v>#REF!</v>
      </c>
      <c r="Y69" s="226"/>
    </row>
    <row r="70" spans="1:25">
      <c r="A70" s="226" t="e">
        <f>INT(A$66/100000)-10*A69-100*A68</f>
        <v>#REF!</v>
      </c>
      <c r="B70" s="226"/>
      <c r="C70" s="232" t="e">
        <f t="shared" si="0"/>
        <v>#REF!</v>
      </c>
      <c r="D70" s="232" t="e">
        <f t="shared" si="1"/>
        <v>#REF!</v>
      </c>
      <c r="E70" s="233" t="e">
        <f>IF(A70=0,"",IF(A70=1,"sto ",IF(A70=2,"dwieście ",IF(A70=3,"trzysta ",IF(A70=4,"czterysta ",IF(A70=5,"pięćset ",""))))))</f>
        <v>#REF!</v>
      </c>
      <c r="F70" s="233" t="e">
        <f>IF(A70=6,"sześćset ",IF(A70=7,"siedemset ",IF(A70=8,"osiemset ",IF(A70=9,"dziewięćset ",""))))</f>
        <v>#REF!</v>
      </c>
      <c r="G70" s="226"/>
      <c r="H70" s="226"/>
      <c r="I70" s="226"/>
      <c r="J70" s="233" t="e">
        <f>IF(C70,E70&amp;I70,IF(D70,F70&amp;I70,""))</f>
        <v>#REF!</v>
      </c>
      <c r="K70" s="226"/>
      <c r="O70" s="226" t="e">
        <f>INT(O$66/100000)-10*O69-100*O68</f>
        <v>#REF!</v>
      </c>
      <c r="P70" s="226"/>
      <c r="Q70" s="232" t="e">
        <f t="shared" si="2"/>
        <v>#REF!</v>
      </c>
      <c r="R70" s="232" t="e">
        <f t="shared" si="3"/>
        <v>#REF!</v>
      </c>
      <c r="S70" s="233" t="e">
        <f>IF(O70=0,"",IF(O70=1,"sto ",IF(O70=2,"dwieście ",IF(O70=3,"trzysta ",IF(O70=4,"czterysta ",IF(O70=5,"pięćset ",""))))))</f>
        <v>#REF!</v>
      </c>
      <c r="T70" s="233" t="e">
        <f>IF(O70=6,"sześćset ",IF(O70=7,"siedemset ",IF(O70=8,"osiemset ",IF(O70=9,"dziewięćset ",""))))</f>
        <v>#REF!</v>
      </c>
      <c r="U70" s="226"/>
      <c r="V70" s="226"/>
      <c r="W70" s="226"/>
      <c r="X70" s="233" t="e">
        <f>IF(Q70,S70&amp;W70,IF(R70,T70&amp;W70,""))</f>
        <v>#REF!</v>
      </c>
      <c r="Y70" s="226"/>
    </row>
    <row r="71" spans="1:25">
      <c r="A71" s="226" t="e">
        <f>INT(A$66/10000)-10*A70-100*A69-1000*A68</f>
        <v>#REF!</v>
      </c>
      <c r="B71" s="226"/>
      <c r="C71" s="232" t="e">
        <f t="shared" si="0"/>
        <v>#REF!</v>
      </c>
      <c r="D71" s="232" t="e">
        <f t="shared" si="1"/>
        <v>#REF!</v>
      </c>
      <c r="E71" s="233" t="e">
        <f>IF(A71=0,"",IF(A71=1,IF(A72=0,"dziesięć tysięcy ",""),IF(A71=2,"dwadzieścia ",IF(A71=3,"trzydzieści ",IF(A71=4,"czterdzieści ",IF(A71=5,"pięćdziesiąt ",""))))))</f>
        <v>#REF!</v>
      </c>
      <c r="F71" s="233" t="e">
        <f>IF(A71=6,"sześćdziesiąt ",IF(A71=7,"siedemdziesiąt ",IF(A71=8,"osiemdziesiąt ",IF(A71=9,"dziewięćdziesiąt ",""))))</f>
        <v>#REF!</v>
      </c>
      <c r="G71" s="226"/>
      <c r="H71" s="226"/>
      <c r="I71" s="226"/>
      <c r="J71" s="233" t="e">
        <f>IF(C71,E71&amp;I71,IF(D71,F71&amp;I71,""))</f>
        <v>#REF!</v>
      </c>
      <c r="K71" s="226"/>
      <c r="O71" s="226" t="e">
        <f>INT(O$66/10000)-10*O70-100*O69-1000*O68</f>
        <v>#REF!</v>
      </c>
      <c r="P71" s="226"/>
      <c r="Q71" s="232" t="e">
        <f t="shared" si="2"/>
        <v>#REF!</v>
      </c>
      <c r="R71" s="232" t="e">
        <f t="shared" si="3"/>
        <v>#REF!</v>
      </c>
      <c r="S71" s="233" t="e">
        <f>IF(O71=0,"",IF(O71=1,IF(O72=0,"dziesięć tysięcy ",""),IF(O71=2,"dwadzieścia ",IF(O71=3,"trzydzieści ",IF(O71=4,"czterdzieści ",IF(O71=5,"pięćdziesiąt ",""))))))</f>
        <v>#REF!</v>
      </c>
      <c r="T71" s="233" t="e">
        <f>IF(O71=6,"sześćdziesiąt ",IF(O71=7,"siedemdziesiąt ",IF(O71=8,"osiemdziesiąt ",IF(O71=9,"dziewięćdziesiąt ",""))))</f>
        <v>#REF!</v>
      </c>
      <c r="U71" s="226"/>
      <c r="V71" s="226"/>
      <c r="W71" s="226"/>
      <c r="X71" s="233" t="e">
        <f>IF(Q71,S71&amp;W71,IF(R71,T71&amp;W71,""))</f>
        <v>#REF!</v>
      </c>
      <c r="Y71" s="226"/>
    </row>
    <row r="72" spans="1:25">
      <c r="A72" s="227" t="e">
        <f>INT(A$66/1000)-10*A71-100*A70-1000*A69-10000*A68</f>
        <v>#REF!</v>
      </c>
      <c r="B72" s="226"/>
      <c r="C72" s="232" t="e">
        <f t="shared" si="0"/>
        <v>#REF!</v>
      </c>
      <c r="D72" s="232" t="e">
        <f t="shared" si="1"/>
        <v>#REF!</v>
      </c>
      <c r="E72" s="233" t="e">
        <f>IF(A72=0,IF(OR(AND(A71&lt;&gt;0,A71&lt;&gt;1),AND(A70&lt;&gt;0,A71=0)),"tysięcy ",""),IF(A72=1,IF(AND(A70=0,A71=0),"jeden tysiąc ","jeden tysięcy "),IF(A72=2,"dwa tysiące ",IF(A72=3,"trzy tysiące ",IF(A72=4,"cztery tysiące ",IF(A72=5,"pięć tysięcy ",""))))))</f>
        <v>#REF!</v>
      </c>
      <c r="F72" s="233" t="e">
        <f>IF(A72=6,"sześć tysięcy ",IF(A72=7,"siedem tysięcy ",IF(A72=8,"osiem tysięcy ",IF(A72=9,"dziewięć tysięcy ",""))))</f>
        <v>#REF!</v>
      </c>
      <c r="G72" s="233" t="e">
        <f>IF(A72=0,"",IF(A72=1,"jedenaście tysięcy ",IF(A72=2,"dwanaście tysięcy ",IF(A72=3,"trzynaście tysięcy ",IF(A72=4,"czternaście tysięcy ",IF(A72=5,"piętnaście tysięcy ",""))))))</f>
        <v>#REF!</v>
      </c>
      <c r="H72" s="233" t="e">
        <f>IF(A72=6,"szesnaście tysięcy ",IF(A72=7,"siedemnaście tysięcy ",IF(A72=8,"osiemnaście tysięcy ",IF(A72=9,"dziewiętnaście tysięcy ",""))))</f>
        <v>#REF!</v>
      </c>
      <c r="I72" s="226"/>
      <c r="J72" s="233" t="e">
        <f>IF(A71=1,IF(C72,G72,IF(D72,H72)),IF(C72,E72,IF(D72,F72,"")))</f>
        <v>#REF!</v>
      </c>
      <c r="K72" s="226"/>
      <c r="O72" s="227" t="e">
        <f>INT(O$66/1000)-10*O71-100*O70-1000*O69-10000*O68</f>
        <v>#REF!</v>
      </c>
      <c r="P72" s="226"/>
      <c r="Q72" s="232" t="e">
        <f t="shared" si="2"/>
        <v>#REF!</v>
      </c>
      <c r="R72" s="232" t="e">
        <f t="shared" si="3"/>
        <v>#REF!</v>
      </c>
      <c r="S72" s="233" t="e">
        <f>IF(O72=0,IF(OR(AND(O71&lt;&gt;0,O71&lt;&gt;1),AND(O70&lt;&gt;0,O71=0)),"tysięcy ",""),IF(O72=1,IF(AND(O70=0,O71=0),"jeden tysiąc ","jeden tysięcy "),IF(O72=2,"dwa tysiące ",IF(O72=3,"trzy tysiące ",IF(O72=4,"cztery tysiące ",IF(O72=5,"pięć tysięcy ",""))))))</f>
        <v>#REF!</v>
      </c>
      <c r="T72" s="233" t="e">
        <f>IF(O72=6,"sześć tysięcy ",IF(O72=7,"siedem tysięcy ",IF(O72=8,"osiem tysięcy ",IF(O72=9,"dziewięć tysięcy ",""))))</f>
        <v>#REF!</v>
      </c>
      <c r="U72" s="233" t="e">
        <f>IF(O72=0,"",IF(O72=1,"jedenaście tysięcy ",IF(O72=2,"dwanaście tysięcy ",IF(O72=3,"trzynaście tysięcy ",IF(O72=4,"czternaście tysięcy ",IF(O72=5,"piętnaście tysięcy ",""))))))</f>
        <v>#REF!</v>
      </c>
      <c r="V72" s="233" t="e">
        <f>IF(O72=6,"szesnaście tysięcy ",IF(O72=7,"siedemnaście tysięcy ",IF(O72=8,"osiemnaście tysięcy ",IF(O72=9,"dziewiętnaście tysięcy ",""))))</f>
        <v>#REF!</v>
      </c>
      <c r="W72" s="226"/>
      <c r="X72" s="233" t="e">
        <f>IF(O71=1,IF(Q72,U72,IF(R72,V72)),IF(Q72,S72,IF(R72,T72,"")))</f>
        <v>#REF!</v>
      </c>
      <c r="Y72" s="226"/>
    </row>
    <row r="73" spans="1:25">
      <c r="A73" s="226" t="e">
        <f>INT(A$66/100)-10*A72-100*A71-1000*A70-10000*A69-100000*A68</f>
        <v>#REF!</v>
      </c>
      <c r="B73" s="226"/>
      <c r="C73" s="232" t="e">
        <f t="shared" si="0"/>
        <v>#REF!</v>
      </c>
      <c r="D73" s="232" t="e">
        <f t="shared" si="1"/>
        <v>#REF!</v>
      </c>
      <c r="E73" s="233" t="e">
        <f>IF(A73=0,"",IF(A73=1,"sto ",IF(A73=2,"dwieście ",IF(A73=3,"trzysta ",IF(A73=4,"czterysta ",IF(A73=5,"pięćset ",""))))))</f>
        <v>#REF!</v>
      </c>
      <c r="F73" s="233" t="e">
        <f>IF(A73=6,"sześćset ",IF(A73=7,"siedemset ",IF(A73=8,"osiemset ",IF(A73=9,"dziewięćset ",""))))</f>
        <v>#REF!</v>
      </c>
      <c r="G73" s="226"/>
      <c r="H73" s="226"/>
      <c r="I73" s="226"/>
      <c r="J73" s="233" t="e">
        <f>IF(C73,E73&amp;I73,IF(D73,F73&amp;I73,""))</f>
        <v>#REF!</v>
      </c>
      <c r="K73" s="226"/>
      <c r="O73" s="226" t="e">
        <f>INT(O$66/100)-10*O72-100*O71-1000*O70-10000*O69-100000*O68</f>
        <v>#REF!</v>
      </c>
      <c r="P73" s="226"/>
      <c r="Q73" s="232" t="e">
        <f t="shared" si="2"/>
        <v>#REF!</v>
      </c>
      <c r="R73" s="232" t="e">
        <f t="shared" si="3"/>
        <v>#REF!</v>
      </c>
      <c r="S73" s="233" t="e">
        <f>IF(O73=0,"",IF(O73=1,"sto ",IF(O73=2,"dwieście ",IF(O73=3,"trzysta ",IF(O73=4,"czterysta ",IF(O73=5,"pięćset ",""))))))</f>
        <v>#REF!</v>
      </c>
      <c r="T73" s="233" t="e">
        <f>IF(O73=6,"sześćset ",IF(O73=7,"siedemset ",IF(O73=8,"osiemset ",IF(O73=9,"dziewięćset ",""))))</f>
        <v>#REF!</v>
      </c>
      <c r="U73" s="226"/>
      <c r="V73" s="226"/>
      <c r="W73" s="226"/>
      <c r="X73" s="233" t="e">
        <f>IF(Q73,S73&amp;W73,IF(R73,T73&amp;W73,""))</f>
        <v>#REF!</v>
      </c>
      <c r="Y73" s="226"/>
    </row>
    <row r="74" spans="1:25">
      <c r="A74" s="226" t="e">
        <f>INT(A$66/10)-10*A73-100*A72-1000*A71-10000*A70-100000*A69-1000000*A68</f>
        <v>#REF!</v>
      </c>
      <c r="B74" s="226"/>
      <c r="C74" s="232" t="e">
        <f t="shared" si="0"/>
        <v>#REF!</v>
      </c>
      <c r="D74" s="232" t="e">
        <f t="shared" si="1"/>
        <v>#REF!</v>
      </c>
      <c r="E74" s="233" t="e">
        <f>IF(A74=0,"",IF(A74=1,IF(A75=0,"dziesięć ",""),IF(A74=2,"dwadzieścia ",IF(A74=3,"trzydzieści ",IF(A74=4,"czterdzieści ",IF(A74=5,"pięćdziesiąt ",""))))))</f>
        <v>#REF!</v>
      </c>
      <c r="F74" s="233" t="e">
        <f>IF(A74=6,"sześćdziesiąt ",IF(A74=7,"siedemdziesiąt ",IF(A74=8,"osiemdziesiąt ",IF(A74=9,"dziewięćdziesiąt ",""))))</f>
        <v>#REF!</v>
      </c>
      <c r="G74" s="226"/>
      <c r="H74" s="226"/>
      <c r="I74" s="226"/>
      <c r="J74" s="233" t="e">
        <f>IF(C74,E74&amp;I74,IF(D74,F74&amp;I74,""))</f>
        <v>#REF!</v>
      </c>
      <c r="K74" s="226"/>
      <c r="O74" s="226" t="e">
        <f>INT(O$66/10)-10*O73-100*O72-1000*O71-10000*O70-100000*O69-1000000*O68</f>
        <v>#REF!</v>
      </c>
      <c r="P74" s="226"/>
      <c r="Q74" s="232" t="e">
        <f t="shared" si="2"/>
        <v>#REF!</v>
      </c>
      <c r="R74" s="232" t="e">
        <f t="shared" si="3"/>
        <v>#REF!</v>
      </c>
      <c r="S74" s="233" t="e">
        <f>IF(O74=0,"",IF(O74=1,IF(O75=0,"dziesięć ",""),IF(O74=2,"dwadzieścia ",IF(O74=3,"trzydzieści ",IF(O74=4,"czterdzieści ",IF(O74=5,"pięćdziesiąt ",""))))))</f>
        <v>#REF!</v>
      </c>
      <c r="T74" s="233" t="e">
        <f>IF(O74=6,"sześćdziesiąt ",IF(O74=7,"siedemdziesiąt ",IF(O74=8,"osiemdziesiąt ",IF(O74=9,"dziewięćdziesiąt ",""))))</f>
        <v>#REF!</v>
      </c>
      <c r="U74" s="226"/>
      <c r="V74" s="226"/>
      <c r="W74" s="226"/>
      <c r="X74" s="233" t="e">
        <f>IF(Q74,S74&amp;W74,IF(R74,T74&amp;W74,""))</f>
        <v>#REF!</v>
      </c>
      <c r="Y74" s="226"/>
    </row>
    <row r="75" spans="1:25">
      <c r="A75" s="227" t="e">
        <f>INT(A$66)-10*A74-100*A73-1000*A72-10000*A71-100000*A70-1000000*A69-10000000*A68</f>
        <v>#REF!</v>
      </c>
      <c r="B75" s="226"/>
      <c r="C75" s="232" t="e">
        <f t="shared" si="0"/>
        <v>#REF!</v>
      </c>
      <c r="D75" s="232" t="e">
        <f t="shared" si="1"/>
        <v>#REF!</v>
      </c>
      <c r="E75" s="233" t="e">
        <f>IF(A75=0,"",IF(A75=1,"jeden ",IF(A75=2,"dwa ",IF(A75=3,"trzy ",IF(A75=4,"cztery ",IF(A75=5,"pięć ",""))))))</f>
        <v>#REF!</v>
      </c>
      <c r="F75" s="233" t="e">
        <f>IF(A75=6,"sześć ",IF(A75=7,"siedem ",IF(A75=8,"osiem ",IF(A75=9,"dziewięć ",""))))</f>
        <v>#REF!</v>
      </c>
      <c r="G75" s="233" t="e">
        <f>IF(A75=0,"",IF(A75=1,"jedenaście ",IF(A75=2,"dwanaście ",IF(A75=3,"trzynaście ",IF(A75=4,"czternaście ",IF(A75=5,"piętnaście ",""))))))</f>
        <v>#REF!</v>
      </c>
      <c r="H75" s="233" t="e">
        <f>IF(A75=6,"szesnaście ",IF(A75=7,"siedemnaście ",IF(A75=8,"osiemnaście ",IF(A75=9,"dziewiętnaście ",""))))</f>
        <v>#REF!</v>
      </c>
      <c r="I75" s="226"/>
      <c r="J75" s="233" t="e">
        <f>IF(A74=1,IF(C75,G75,IF(D75,H75)),IF(C75,E75,IF(D75,F75,"")))</f>
        <v>#REF!</v>
      </c>
      <c r="K75" s="226"/>
      <c r="O75" s="227" t="e">
        <f>INT(O$66)-10*O74-100*O73-1000*O72-10000*O71-100000*O70-1000000*O69-10000000*O68</f>
        <v>#REF!</v>
      </c>
      <c r="P75" s="226"/>
      <c r="Q75" s="232" t="e">
        <f t="shared" si="2"/>
        <v>#REF!</v>
      </c>
      <c r="R75" s="232" t="e">
        <f t="shared" si="3"/>
        <v>#REF!</v>
      </c>
      <c r="S75" s="233" t="e">
        <f>IF(O75=0,"",IF(O75=1,"jeden ",IF(O75=2,"dwa ",IF(O75=3,"trzy ",IF(O75=4,"cztery ",IF(O75=5,"pięć ",""))))))</f>
        <v>#REF!</v>
      </c>
      <c r="T75" s="233" t="e">
        <f>IF(O75=6,"sześć ",IF(O75=7,"siedem ",IF(O75=8,"osiem ",IF(O75=9,"dziewięć ",""))))</f>
        <v>#REF!</v>
      </c>
      <c r="U75" s="233" t="e">
        <f>IF(O75=0,"",IF(O75=1,"jedenaście ",IF(O75=2,"dwanaście ",IF(O75=3,"trzynaście ",IF(O75=4,"czternaście ",IF(O75=5,"piętnaście ",""))))))</f>
        <v>#REF!</v>
      </c>
      <c r="V75" s="233" t="e">
        <f>IF(O75=6,"szesnaście ",IF(O75=7,"siedemnaście ",IF(O75=8,"osiemnaście ",IF(O75=9,"dziewiętnaście ",""))))</f>
        <v>#REF!</v>
      </c>
      <c r="W75" s="226"/>
      <c r="X75" s="233" t="e">
        <f>IF(O74=1,IF(Q75,U75,IF(R75,V75)),IF(Q75,S75,IF(R75,T75,"")))</f>
        <v>#REF!</v>
      </c>
      <c r="Y75" s="226"/>
    </row>
    <row r="76" spans="1:25">
      <c r="A76" s="234" t="e">
        <f>ROUND((A66-TRUNC(A66,0))*100,0)</f>
        <v>#REF!</v>
      </c>
      <c r="B76" s="226"/>
      <c r="C76" s="226"/>
      <c r="D76" s="226"/>
      <c r="E76" s="226"/>
      <c r="F76" s="226"/>
      <c r="G76" s="226"/>
      <c r="H76" s="226"/>
      <c r="I76" s="226"/>
      <c r="J76" s="233" t="e">
        <f>"zł "&amp;A76&amp;"/100"</f>
        <v>#REF!</v>
      </c>
      <c r="K76" s="226"/>
      <c r="O76" s="234" t="e">
        <f>ROUND((O66-TRUNC(O66,0))*100,0)</f>
        <v>#REF!</v>
      </c>
      <c r="P76" s="226"/>
      <c r="Q76" s="226"/>
      <c r="R76" s="226"/>
      <c r="S76" s="226"/>
      <c r="T76" s="226"/>
      <c r="U76" s="226"/>
      <c r="V76" s="226"/>
      <c r="W76" s="226"/>
      <c r="X76" s="233" t="e">
        <f>"zł "&amp;O76&amp;"/100"</f>
        <v>#REF!</v>
      </c>
      <c r="Y76" s="226"/>
    </row>
    <row r="77" spans="1:25">
      <c r="A77" s="226"/>
      <c r="B77" s="226"/>
      <c r="C77" s="226"/>
      <c r="D77" s="226"/>
      <c r="E77" s="231" t="s">
        <v>41</v>
      </c>
      <c r="F77" s="226"/>
      <c r="G77" s="226"/>
      <c r="H77" s="226"/>
      <c r="I77" s="226"/>
      <c r="J77" s="226"/>
      <c r="K77" s="226"/>
      <c r="O77" s="226"/>
      <c r="P77" s="226"/>
      <c r="Q77" s="226"/>
      <c r="R77" s="226"/>
      <c r="S77" s="231" t="s">
        <v>41</v>
      </c>
      <c r="T77" s="226"/>
      <c r="U77" s="226"/>
      <c r="V77" s="226"/>
      <c r="W77" s="226"/>
      <c r="X77" s="226"/>
      <c r="Y77" s="226"/>
    </row>
    <row r="78" spans="1:25">
      <c r="A78" s="225" t="e">
        <f>TRUNC(A66,1)</f>
        <v>#REF!</v>
      </c>
      <c r="B78" s="226"/>
      <c r="C78" s="226"/>
      <c r="D78" s="226"/>
      <c r="E78" s="233" t="e">
        <f>J68&amp;J69&amp;J70&amp;J71&amp;J72&amp;J73&amp;J74&amp;J75&amp;J76</f>
        <v>#REF!</v>
      </c>
      <c r="F78" s="233"/>
      <c r="G78" s="233"/>
      <c r="H78" s="233"/>
      <c r="I78" s="233"/>
      <c r="J78" s="233"/>
      <c r="K78" s="226"/>
      <c r="O78" s="225" t="e">
        <f>TRUNC(O66,1)</f>
        <v>#REF!</v>
      </c>
      <c r="P78" s="226"/>
      <c r="Q78" s="226"/>
      <c r="R78" s="226"/>
      <c r="S78" s="233" t="e">
        <f>X68&amp;X69&amp;X70&amp;X71&amp;X72&amp;X73&amp;X74&amp;X75&amp;X76</f>
        <v>#REF!</v>
      </c>
      <c r="T78" s="233"/>
      <c r="U78" s="233"/>
      <c r="V78" s="233"/>
      <c r="W78" s="233"/>
      <c r="X78" s="233"/>
      <c r="Y78" s="226"/>
    </row>
  </sheetData>
  <mergeCells count="17">
    <mergeCell ref="B12:I12"/>
    <mergeCell ref="A3:I3"/>
    <mergeCell ref="B5:I5"/>
    <mergeCell ref="B7:I7"/>
    <mergeCell ref="B9:I9"/>
    <mergeCell ref="B11:I11"/>
    <mergeCell ref="B24:I24"/>
    <mergeCell ref="B34:C34"/>
    <mergeCell ref="G66:H66"/>
    <mergeCell ref="U66:V66"/>
    <mergeCell ref="B13:I13"/>
    <mergeCell ref="B15:I15"/>
    <mergeCell ref="A18:D18"/>
    <mergeCell ref="E18:I18"/>
    <mergeCell ref="B20:I20"/>
    <mergeCell ref="A22:D22"/>
    <mergeCell ref="E22:I22"/>
  </mergeCells>
  <pageMargins left="0.7" right="0.7" top="0.75" bottom="0.75" header="0.3" footer="0.3"/>
  <pageSetup paperSize="9" scale="81" orientation="portrait" horizontalDpi="4294967294" vertic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6"/>
  <sheetViews>
    <sheetView view="pageBreakPreview" zoomScaleNormal="100" zoomScaleSheetLayoutView="100" workbookViewId="0">
      <selection activeCell="A2" sqref="A2:J2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44" t="s">
        <v>1084</v>
      </c>
      <c r="B1" s="744"/>
      <c r="C1" s="744"/>
      <c r="D1" s="744"/>
      <c r="E1" s="744"/>
      <c r="F1" s="744"/>
      <c r="G1" s="744"/>
      <c r="H1" s="744"/>
      <c r="I1" s="744"/>
      <c r="J1" s="744"/>
    </row>
    <row r="2" spans="1:18" s="4" customFormat="1" ht="39" customHeight="1">
      <c r="A2" s="760" t="s">
        <v>1049</v>
      </c>
      <c r="B2" s="760"/>
      <c r="C2" s="760"/>
      <c r="D2" s="760"/>
      <c r="E2" s="760"/>
      <c r="F2" s="760"/>
      <c r="G2" s="760"/>
      <c r="H2" s="760"/>
      <c r="I2" s="760"/>
      <c r="J2" s="760"/>
    </row>
    <row r="3" spans="1:18" ht="45" customHeight="1">
      <c r="A3" s="74" t="s">
        <v>3</v>
      </c>
      <c r="B3" s="449" t="s">
        <v>199</v>
      </c>
      <c r="C3" s="755" t="s">
        <v>4</v>
      </c>
      <c r="D3" s="755"/>
      <c r="E3" s="755"/>
      <c r="F3" s="755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61" t="s">
        <v>1006</v>
      </c>
      <c r="C4" s="761"/>
      <c r="D4" s="761"/>
      <c r="E4" s="761"/>
      <c r="F4" s="761"/>
      <c r="G4" s="761"/>
      <c r="H4" s="761"/>
      <c r="I4" s="761"/>
      <c r="J4" s="761"/>
      <c r="M4" s="40" t="s">
        <v>1032</v>
      </c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  <c r="M5" s="1">
        <v>120</v>
      </c>
    </row>
    <row r="6" spans="1:18" ht="44.25" hidden="1" customHeight="1">
      <c r="A6" s="755"/>
      <c r="B6" s="756"/>
      <c r="C6" s="757" t="s">
        <v>733</v>
      </c>
      <c r="D6" s="757"/>
      <c r="E6" s="757"/>
      <c r="F6" s="757"/>
      <c r="G6" s="758" t="s">
        <v>177</v>
      </c>
      <c r="H6" s="759" t="s">
        <v>34</v>
      </c>
      <c r="I6" s="377"/>
      <c r="J6" s="521"/>
    </row>
    <row r="7" spans="1:18" ht="21.75" hidden="1" customHeight="1">
      <c r="A7" s="755"/>
      <c r="B7" s="756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58"/>
      <c r="H7" s="759"/>
      <c r="I7" s="377"/>
      <c r="J7" s="521"/>
    </row>
    <row r="8" spans="1:18" ht="18" customHeight="1">
      <c r="A8" s="64" t="s">
        <v>34</v>
      </c>
      <c r="B8" s="571" t="s">
        <v>14</v>
      </c>
      <c r="C8" s="736" t="s">
        <v>108</v>
      </c>
      <c r="D8" s="736"/>
      <c r="E8" s="736"/>
      <c r="F8" s="736"/>
      <c r="G8" s="736"/>
      <c r="H8" s="736"/>
      <c r="I8" s="736"/>
      <c r="J8" s="736"/>
    </row>
    <row r="9" spans="1:18" s="14" customFormat="1" ht="31.5" customHeight="1">
      <c r="A9" s="74">
        <v>1</v>
      </c>
      <c r="B9" s="449" t="s">
        <v>952</v>
      </c>
      <c r="C9" s="762" t="s">
        <v>1018</v>
      </c>
      <c r="D9" s="762"/>
      <c r="E9" s="762"/>
      <c r="F9" s="762"/>
      <c r="G9" s="74" t="s">
        <v>176</v>
      </c>
      <c r="H9" s="78">
        <f>M5*1</f>
        <v>120</v>
      </c>
      <c r="I9" s="78"/>
      <c r="J9" s="662"/>
    </row>
    <row r="10" spans="1:18" ht="54" hidden="1" customHeight="1">
      <c r="A10" s="755"/>
      <c r="B10" s="763"/>
      <c r="C10" s="764" t="s">
        <v>969</v>
      </c>
      <c r="D10" s="764"/>
      <c r="E10" s="764"/>
      <c r="F10" s="764"/>
      <c r="G10" s="758" t="s">
        <v>177</v>
      </c>
      <c r="H10" s="765" t="s">
        <v>34</v>
      </c>
      <c r="I10" s="377"/>
      <c r="J10" s="521"/>
    </row>
    <row r="11" spans="1:18" ht="21" hidden="1" customHeight="1">
      <c r="A11" s="755"/>
      <c r="B11" s="763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58"/>
      <c r="H11" s="765"/>
      <c r="I11" s="377"/>
      <c r="J11" s="521"/>
    </row>
    <row r="12" spans="1:18" ht="17.25" customHeight="1">
      <c r="A12" s="64" t="s">
        <v>34</v>
      </c>
      <c r="B12" s="571" t="s">
        <v>15</v>
      </c>
      <c r="C12" s="736" t="s">
        <v>10</v>
      </c>
      <c r="D12" s="736"/>
      <c r="E12" s="736"/>
      <c r="F12" s="736"/>
      <c r="G12" s="736"/>
      <c r="H12" s="736"/>
      <c r="I12" s="736"/>
      <c r="J12" s="736"/>
      <c r="R12" s="40">
        <v>13</v>
      </c>
    </row>
    <row r="13" spans="1:18" ht="50.25" customHeight="1">
      <c r="A13" s="74">
        <v>2</v>
      </c>
      <c r="B13" s="66" t="s">
        <v>109</v>
      </c>
      <c r="C13" s="762" t="s">
        <v>1020</v>
      </c>
      <c r="D13" s="762"/>
      <c r="E13" s="762"/>
      <c r="F13" s="762"/>
      <c r="G13" s="74" t="s">
        <v>176</v>
      </c>
      <c r="H13" s="78">
        <f>2.2*M5</f>
        <v>264</v>
      </c>
      <c r="I13" s="78"/>
      <c r="J13" s="662"/>
    </row>
    <row r="14" spans="1:18" ht="25.5" hidden="1" customHeight="1">
      <c r="A14" s="786"/>
      <c r="B14" s="787"/>
      <c r="C14" s="788" t="s">
        <v>974</v>
      </c>
      <c r="D14" s="788"/>
      <c r="E14" s="788"/>
      <c r="F14" s="788"/>
      <c r="G14" s="789" t="s">
        <v>920</v>
      </c>
      <c r="H14" s="790" t="s">
        <v>34</v>
      </c>
      <c r="I14" s="377"/>
      <c r="J14" s="521"/>
      <c r="M14" s="784"/>
      <c r="N14" s="784"/>
      <c r="O14" s="784"/>
      <c r="P14" s="784"/>
    </row>
    <row r="15" spans="1:18" ht="20.25" hidden="1" customHeight="1">
      <c r="A15" s="786"/>
      <c r="B15" s="787"/>
      <c r="C15" s="645" t="s">
        <v>713</v>
      </c>
      <c r="D15" s="652" t="e">
        <f>#REF!</f>
        <v>#REF!</v>
      </c>
      <c r="E15" s="290" t="s">
        <v>708</v>
      </c>
      <c r="F15" s="652" t="s">
        <v>718</v>
      </c>
      <c r="G15" s="789"/>
      <c r="H15" s="790"/>
      <c r="I15" s="377"/>
      <c r="J15" s="521"/>
    </row>
    <row r="16" spans="1:18" ht="36.75" customHeight="1">
      <c r="A16" s="74">
        <v>3</v>
      </c>
      <c r="B16" s="641" t="s">
        <v>31</v>
      </c>
      <c r="C16" s="785" t="s">
        <v>1019</v>
      </c>
      <c r="D16" s="785"/>
      <c r="E16" s="785"/>
      <c r="F16" s="785"/>
      <c r="G16" s="74" t="s">
        <v>176</v>
      </c>
      <c r="H16" s="78">
        <v>5</v>
      </c>
      <c r="I16" s="78"/>
      <c r="J16" s="662"/>
    </row>
    <row r="17" spans="1:106" ht="32.25" customHeight="1">
      <c r="A17" s="21"/>
      <c r="B17" s="448" t="s">
        <v>111</v>
      </c>
      <c r="C17" s="737" t="s">
        <v>189</v>
      </c>
      <c r="D17" s="737"/>
      <c r="E17" s="737"/>
      <c r="F17" s="737"/>
      <c r="G17" s="737"/>
      <c r="H17" s="737"/>
      <c r="I17" s="737"/>
      <c r="J17" s="737"/>
    </row>
    <row r="18" spans="1:106" s="15" customFormat="1" ht="21" customHeight="1">
      <c r="A18" s="64" t="s">
        <v>34</v>
      </c>
      <c r="B18" s="571" t="s">
        <v>142</v>
      </c>
      <c r="C18" s="736" t="s">
        <v>147</v>
      </c>
      <c r="D18" s="736"/>
      <c r="E18" s="736"/>
      <c r="F18" s="736"/>
      <c r="G18" s="736"/>
      <c r="H18" s="736"/>
      <c r="I18" s="736"/>
      <c r="J18" s="736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</row>
    <row r="19" spans="1:106" s="15" customFormat="1" ht="37.5" customHeight="1">
      <c r="A19" s="74">
        <v>4</v>
      </c>
      <c r="B19" s="572" t="s">
        <v>143</v>
      </c>
      <c r="C19" s="768" t="s">
        <v>1046</v>
      </c>
      <c r="D19" s="768"/>
      <c r="E19" s="768"/>
      <c r="F19" s="768"/>
      <c r="G19" s="74" t="s">
        <v>179</v>
      </c>
      <c r="H19" s="78">
        <f>M5*0.7</f>
        <v>84</v>
      </c>
      <c r="I19" s="78"/>
      <c r="J19" s="662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54" hidden="1" customHeight="1">
      <c r="A20" s="755"/>
      <c r="B20" s="766"/>
      <c r="C20" s="764" t="s">
        <v>978</v>
      </c>
      <c r="D20" s="764"/>
      <c r="E20" s="764"/>
      <c r="F20" s="764"/>
      <c r="G20" s="758" t="s">
        <v>178</v>
      </c>
      <c r="H20" s="767" t="s">
        <v>34</v>
      </c>
      <c r="I20" s="632"/>
      <c r="J20" s="66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15" customFormat="1" ht="18" hidden="1" customHeight="1">
      <c r="A21" s="755"/>
      <c r="B21" s="766"/>
      <c r="C21" s="672" t="s">
        <v>714</v>
      </c>
      <c r="D21" s="67" t="e">
        <f>#REF!</f>
        <v>#REF!</v>
      </c>
      <c r="E21" s="109" t="str">
        <f>G20</f>
        <v>m3</v>
      </c>
      <c r="F21" s="67" t="s">
        <v>716</v>
      </c>
      <c r="G21" s="758"/>
      <c r="H21" s="767"/>
      <c r="I21" s="632"/>
      <c r="J21" s="66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</row>
    <row r="22" spans="1:106" s="3" customFormat="1" ht="31.5" customHeight="1">
      <c r="A22" s="21"/>
      <c r="B22" s="448" t="s">
        <v>57</v>
      </c>
      <c r="C22" s="737" t="s">
        <v>181</v>
      </c>
      <c r="D22" s="737"/>
      <c r="E22" s="737"/>
      <c r="F22" s="737"/>
      <c r="G22" s="737"/>
      <c r="H22" s="737"/>
      <c r="I22" s="737"/>
      <c r="J22" s="737"/>
    </row>
    <row r="23" spans="1:106" s="1" customFormat="1" ht="18" customHeight="1">
      <c r="A23" s="64" t="s">
        <v>34</v>
      </c>
      <c r="B23" s="571" t="s">
        <v>98</v>
      </c>
      <c r="C23" s="736" t="s">
        <v>99</v>
      </c>
      <c r="D23" s="736"/>
      <c r="E23" s="736"/>
      <c r="F23" s="736"/>
      <c r="G23" s="736"/>
      <c r="H23" s="736"/>
      <c r="I23" s="736"/>
      <c r="J23" s="736"/>
    </row>
    <row r="24" spans="1:106" s="1" customFormat="1" ht="33" customHeight="1">
      <c r="A24" s="86">
        <v>5</v>
      </c>
      <c r="B24" s="431" t="s">
        <v>970</v>
      </c>
      <c r="C24" s="778" t="s">
        <v>1011</v>
      </c>
      <c r="D24" s="778"/>
      <c r="E24" s="778"/>
      <c r="F24" s="778"/>
      <c r="G24" s="86" t="s">
        <v>176</v>
      </c>
      <c r="H24" s="87">
        <f>M5*3.2</f>
        <v>384</v>
      </c>
      <c r="I24" s="566"/>
      <c r="J24" s="662"/>
    </row>
    <row r="25" spans="1:106" s="1" customFormat="1" ht="33" customHeight="1">
      <c r="A25" s="64" t="s">
        <v>34</v>
      </c>
      <c r="B25" s="571" t="s">
        <v>114</v>
      </c>
      <c r="C25" s="736" t="s">
        <v>1024</v>
      </c>
      <c r="D25" s="736"/>
      <c r="E25" s="736"/>
      <c r="F25" s="736"/>
      <c r="G25" s="736"/>
      <c r="H25" s="736"/>
      <c r="I25" s="736"/>
      <c r="J25" s="736"/>
    </row>
    <row r="26" spans="1:106" s="1" customFormat="1" ht="33" customHeight="1">
      <c r="A26" s="86">
        <v>6</v>
      </c>
      <c r="B26" s="564" t="s">
        <v>162</v>
      </c>
      <c r="C26" s="778" t="s">
        <v>1023</v>
      </c>
      <c r="D26" s="778"/>
      <c r="E26" s="778"/>
      <c r="F26" s="778"/>
      <c r="G26" s="86" t="s">
        <v>176</v>
      </c>
      <c r="H26" s="87">
        <f>M5*3.2</f>
        <v>384</v>
      </c>
      <c r="I26" s="566"/>
      <c r="J26" s="662"/>
    </row>
    <row r="27" spans="1:106" s="8" customFormat="1" ht="18" customHeight="1">
      <c r="A27" s="64" t="s">
        <v>34</v>
      </c>
      <c r="B27" s="571" t="s">
        <v>972</v>
      </c>
      <c r="C27" s="736" t="s">
        <v>20</v>
      </c>
      <c r="D27" s="736"/>
      <c r="E27" s="736"/>
      <c r="F27" s="736"/>
      <c r="G27" s="736"/>
      <c r="H27" s="736"/>
      <c r="I27" s="736"/>
      <c r="J27" s="736"/>
    </row>
    <row r="28" spans="1:106" s="8" customFormat="1" ht="30" customHeight="1">
      <c r="A28" s="86">
        <v>7</v>
      </c>
      <c r="B28" s="623" t="s">
        <v>984</v>
      </c>
      <c r="C28" s="769" t="s">
        <v>485</v>
      </c>
      <c r="D28" s="769"/>
      <c r="E28" s="769"/>
      <c r="F28" s="769"/>
      <c r="G28" s="86" t="s">
        <v>176</v>
      </c>
      <c r="H28" s="87">
        <f>M5*3.2</f>
        <v>384</v>
      </c>
      <c r="I28" s="566"/>
      <c r="J28" s="662"/>
    </row>
    <row r="29" spans="1:106" s="8" customFormat="1" ht="33" customHeight="1">
      <c r="A29" s="524"/>
      <c r="B29" s="524" t="s">
        <v>59</v>
      </c>
      <c r="C29" s="770" t="s">
        <v>182</v>
      </c>
      <c r="D29" s="770"/>
      <c r="E29" s="770"/>
      <c r="F29" s="770"/>
      <c r="G29" s="770"/>
      <c r="H29" s="770"/>
      <c r="I29" s="770"/>
      <c r="J29" s="770"/>
      <c r="L29" s="8" t="s">
        <v>1081</v>
      </c>
    </row>
    <row r="30" spans="1:106" s="16" customFormat="1" ht="25.5" hidden="1" customHeight="1">
      <c r="A30" s="64" t="s">
        <v>34</v>
      </c>
      <c r="B30" s="276" t="s">
        <v>116</v>
      </c>
      <c r="C30" s="741" t="s">
        <v>776</v>
      </c>
      <c r="D30" s="741"/>
      <c r="E30" s="741"/>
      <c r="F30" s="741"/>
      <c r="G30" s="741" t="s">
        <v>8</v>
      </c>
      <c r="H30" s="741"/>
      <c r="I30" s="673"/>
      <c r="J30" s="66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</row>
    <row r="31" spans="1:106" s="204" customFormat="1" ht="29.25" hidden="1" customHeight="1">
      <c r="A31" s="86">
        <v>27</v>
      </c>
      <c r="B31" s="650" t="s">
        <v>116</v>
      </c>
      <c r="C31" s="771" t="s">
        <v>820</v>
      </c>
      <c r="D31" s="771"/>
      <c r="E31" s="771"/>
      <c r="F31" s="771"/>
      <c r="G31" s="289" t="s">
        <v>919</v>
      </c>
      <c r="H31" s="671" t="e">
        <f>SUM(#REF!)</f>
        <v>#REF!</v>
      </c>
      <c r="I31" s="674"/>
      <c r="J31" s="66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</row>
    <row r="32" spans="1:106" s="204" customFormat="1" ht="29.25" hidden="1" customHeight="1">
      <c r="A32" s="772"/>
      <c r="B32" s="773"/>
      <c r="C32" s="774" t="s">
        <v>778</v>
      </c>
      <c r="D32" s="774"/>
      <c r="E32" s="774"/>
      <c r="F32" s="774"/>
      <c r="G32" s="775" t="s">
        <v>920</v>
      </c>
      <c r="H32" s="776" t="s">
        <v>34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0.25" hidden="1" customHeight="1">
      <c r="A33" s="772"/>
      <c r="B33" s="773"/>
      <c r="C33" s="645" t="s">
        <v>713</v>
      </c>
      <c r="D33" s="652" t="e">
        <f>#REF!</f>
        <v>#REF!</v>
      </c>
      <c r="E33" s="290" t="str">
        <f>G32</f>
        <v>m2</v>
      </c>
      <c r="F33" s="652" t="s">
        <v>716</v>
      </c>
      <c r="G33" s="775"/>
      <c r="H33" s="776"/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276" t="s">
        <v>34</v>
      </c>
      <c r="B34" s="276" t="s">
        <v>845</v>
      </c>
      <c r="C34" s="741" t="s">
        <v>847</v>
      </c>
      <c r="D34" s="741" t="s">
        <v>8</v>
      </c>
      <c r="E34" s="741"/>
      <c r="F34" s="741"/>
      <c r="G34" s="655" t="s">
        <v>8</v>
      </c>
      <c r="H34" s="655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36" hidden="1" customHeight="1">
      <c r="A35" s="593">
        <v>44</v>
      </c>
      <c r="B35" s="656" t="s">
        <v>846</v>
      </c>
      <c r="C35" s="771" t="s">
        <v>915</v>
      </c>
      <c r="D35" s="771"/>
      <c r="E35" s="771"/>
      <c r="F35" s="771"/>
      <c r="G35" s="289" t="s">
        <v>919</v>
      </c>
      <c r="H35" s="671" t="e">
        <f>SUM(#REF!)</f>
        <v>#REF!</v>
      </c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45.75" hidden="1" customHeight="1">
      <c r="A36" s="775"/>
      <c r="B36" s="773"/>
      <c r="C36" s="774" t="s">
        <v>940</v>
      </c>
      <c r="D36" s="774"/>
      <c r="E36" s="774"/>
      <c r="F36" s="774"/>
      <c r="G36" s="775" t="s">
        <v>920</v>
      </c>
      <c r="H36" s="776" t="s">
        <v>34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24.75" hidden="1" customHeight="1">
      <c r="A37" s="775"/>
      <c r="B37" s="773"/>
      <c r="C37" s="645" t="s">
        <v>713</v>
      </c>
      <c r="D37" s="652" t="e">
        <f>#REF!</f>
        <v>#REF!</v>
      </c>
      <c r="E37" s="290" t="str">
        <f>G36</f>
        <v>m2</v>
      </c>
      <c r="F37" s="652" t="s">
        <v>811</v>
      </c>
      <c r="G37" s="775"/>
      <c r="H37" s="776"/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34.5" hidden="1" customHeight="1">
      <c r="A38" s="64" t="s">
        <v>34</v>
      </c>
      <c r="B38" s="276" t="s">
        <v>848</v>
      </c>
      <c r="C38" s="741" t="s">
        <v>849</v>
      </c>
      <c r="D38" s="741" t="s">
        <v>8</v>
      </c>
      <c r="E38" s="741"/>
      <c r="F38" s="741"/>
      <c r="G38" s="655" t="s">
        <v>8</v>
      </c>
      <c r="H38" s="655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20.25" hidden="1" customHeight="1">
      <c r="A39" s="458">
        <v>29</v>
      </c>
      <c r="B39" s="656" t="s">
        <v>846</v>
      </c>
      <c r="C39" s="771" t="s">
        <v>844</v>
      </c>
      <c r="D39" s="771"/>
      <c r="E39" s="771"/>
      <c r="F39" s="771"/>
      <c r="G39" s="289" t="s">
        <v>919</v>
      </c>
      <c r="H39" s="671" t="e">
        <f>SUM(#REF!)</f>
        <v>#REF!</v>
      </c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47.25" hidden="1" customHeight="1">
      <c r="A40" s="772"/>
      <c r="B40" s="773"/>
      <c r="C40" s="774" t="s">
        <v>843</v>
      </c>
      <c r="D40" s="774"/>
      <c r="E40" s="774"/>
      <c r="F40" s="774"/>
      <c r="G40" s="775" t="s">
        <v>920</v>
      </c>
      <c r="H40" s="776" t="s">
        <v>34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20.25" hidden="1" customHeight="1">
      <c r="A41" s="772"/>
      <c r="B41" s="773"/>
      <c r="C41" s="645" t="s">
        <v>713</v>
      </c>
      <c r="D41" s="652" t="e">
        <f>#REF!</f>
        <v>#REF!</v>
      </c>
      <c r="E41" s="290" t="str">
        <f>G40</f>
        <v>m2</v>
      </c>
      <c r="F41" s="652" t="s">
        <v>811</v>
      </c>
      <c r="G41" s="775"/>
      <c r="H41" s="776"/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458">
        <v>30</v>
      </c>
      <c r="B42" s="656" t="s">
        <v>851</v>
      </c>
      <c r="C42" s="771" t="s">
        <v>852</v>
      </c>
      <c r="D42" s="771"/>
      <c r="E42" s="771"/>
      <c r="F42" s="771"/>
      <c r="G42" s="289" t="s">
        <v>919</v>
      </c>
      <c r="H42" s="671" t="e">
        <f>SUM(#REF!)</f>
        <v>#REF!</v>
      </c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45.75" hidden="1" customHeight="1">
      <c r="A43" s="772"/>
      <c r="B43" s="773"/>
      <c r="C43" s="774" t="s">
        <v>853</v>
      </c>
      <c r="D43" s="774"/>
      <c r="E43" s="774"/>
      <c r="F43" s="774"/>
      <c r="G43" s="775" t="s">
        <v>920</v>
      </c>
      <c r="H43" s="776" t="s">
        <v>34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20.25" hidden="1" customHeight="1">
      <c r="A44" s="772"/>
      <c r="B44" s="773"/>
      <c r="C44" s="645" t="s">
        <v>713</v>
      </c>
      <c r="D44" s="652" t="e">
        <f>#REF!</f>
        <v>#REF!</v>
      </c>
      <c r="E44" s="290" t="str">
        <f>G43</f>
        <v>m2</v>
      </c>
      <c r="F44" s="652" t="s">
        <v>811</v>
      </c>
      <c r="G44" s="775"/>
      <c r="H44" s="776"/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customHeight="1">
      <c r="A45" s="571"/>
      <c r="B45" s="64" t="s">
        <v>116</v>
      </c>
      <c r="C45" s="736" t="s">
        <v>776</v>
      </c>
      <c r="D45" s="736"/>
      <c r="E45" s="736"/>
      <c r="F45" s="736"/>
      <c r="G45" s="736"/>
      <c r="H45" s="736"/>
      <c r="I45" s="736"/>
      <c r="J45" s="736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36.75" customHeight="1">
      <c r="A46" s="679" t="s">
        <v>1022</v>
      </c>
      <c r="B46" s="564" t="s">
        <v>213</v>
      </c>
      <c r="C46" s="769" t="s">
        <v>1021</v>
      </c>
      <c r="D46" s="769"/>
      <c r="E46" s="769"/>
      <c r="F46" s="769"/>
      <c r="G46" s="458" t="s">
        <v>176</v>
      </c>
      <c r="H46" s="566">
        <v>20</v>
      </c>
      <c r="I46" s="389"/>
      <c r="J46" s="662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22.5" customHeight="1">
      <c r="A47" s="64" t="s">
        <v>34</v>
      </c>
      <c r="B47" s="64" t="s">
        <v>21</v>
      </c>
      <c r="C47" s="736" t="s">
        <v>1078</v>
      </c>
      <c r="D47" s="736"/>
      <c r="E47" s="736"/>
      <c r="F47" s="736"/>
      <c r="G47" s="736"/>
      <c r="H47" s="736"/>
      <c r="I47" s="736"/>
      <c r="J47" s="736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8" s="204" customFormat="1" ht="30.75" hidden="1" customHeight="1">
      <c r="A48" s="289">
        <v>45</v>
      </c>
      <c r="B48" s="656" t="s">
        <v>816</v>
      </c>
      <c r="C48" s="771" t="s">
        <v>935</v>
      </c>
      <c r="D48" s="771"/>
      <c r="E48" s="771"/>
      <c r="F48" s="771"/>
      <c r="G48" s="289" t="s">
        <v>924</v>
      </c>
      <c r="H48" s="671" t="e">
        <f>SUM(#REF!)</f>
        <v>#REF!</v>
      </c>
      <c r="I48" s="674"/>
      <c r="J48" s="665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6.75" hidden="1" customHeight="1">
      <c r="A49" s="775"/>
      <c r="B49" s="777"/>
      <c r="C49" s="774" t="s">
        <v>936</v>
      </c>
      <c r="D49" s="774"/>
      <c r="E49" s="774"/>
      <c r="F49" s="774"/>
      <c r="G49" s="775" t="s">
        <v>924</v>
      </c>
      <c r="H49" s="776" t="s">
        <v>34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0" hidden="1" customHeight="1">
      <c r="A50" s="775"/>
      <c r="B50" s="777"/>
      <c r="C50" s="645" t="s">
        <v>713</v>
      </c>
      <c r="D50" s="652" t="e">
        <f>#REF!</f>
        <v>#REF!</v>
      </c>
      <c r="E50" s="290" t="s">
        <v>924</v>
      </c>
      <c r="F50" s="652" t="s">
        <v>716</v>
      </c>
      <c r="G50" s="775"/>
      <c r="H50" s="776"/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43.5" customHeight="1">
      <c r="A51" s="86">
        <v>9</v>
      </c>
      <c r="B51" s="564" t="s">
        <v>1008</v>
      </c>
      <c r="C51" s="778" t="s">
        <v>1079</v>
      </c>
      <c r="D51" s="778"/>
      <c r="E51" s="778"/>
      <c r="F51" s="778"/>
      <c r="G51" s="86" t="s">
        <v>176</v>
      </c>
      <c r="H51" s="77">
        <f>M5*3*1.05</f>
        <v>378</v>
      </c>
      <c r="I51" s="77"/>
      <c r="J51" s="662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41" customFormat="1" ht="35.25" customHeight="1">
      <c r="A52" s="21"/>
      <c r="B52" s="448" t="s">
        <v>60</v>
      </c>
      <c r="C52" s="737" t="s">
        <v>183</v>
      </c>
      <c r="D52" s="737"/>
      <c r="E52" s="737"/>
      <c r="F52" s="737"/>
      <c r="G52" s="737"/>
      <c r="H52" s="737"/>
      <c r="I52" s="737"/>
      <c r="J52" s="73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</row>
    <row r="53" spans="1:68" s="8" customFormat="1" ht="19.5" customHeight="1">
      <c r="A53" s="64" t="s">
        <v>34</v>
      </c>
      <c r="B53" s="571" t="s">
        <v>23</v>
      </c>
      <c r="C53" s="736" t="s">
        <v>167</v>
      </c>
      <c r="D53" s="736"/>
      <c r="E53" s="736"/>
      <c r="F53" s="736"/>
      <c r="G53" s="736" t="s">
        <v>8</v>
      </c>
      <c r="H53" s="736"/>
      <c r="I53" s="736"/>
      <c r="J53" s="736"/>
    </row>
    <row r="54" spans="1:68" s="11" customFormat="1" ht="28.5" customHeight="1">
      <c r="A54" s="86">
        <v>10</v>
      </c>
      <c r="B54" s="432" t="s">
        <v>0</v>
      </c>
      <c r="C54" s="778" t="s">
        <v>74</v>
      </c>
      <c r="D54" s="778"/>
      <c r="E54" s="778"/>
      <c r="F54" s="778"/>
      <c r="G54" s="86" t="s">
        <v>176</v>
      </c>
      <c r="H54" s="87">
        <f>H9/2</f>
        <v>60</v>
      </c>
      <c r="I54" s="566"/>
      <c r="J54" s="662"/>
    </row>
    <row r="55" spans="1:68" s="8" customFormat="1" ht="38.25" hidden="1" customHeight="1">
      <c r="A55" s="779"/>
      <c r="B55" s="780"/>
      <c r="C55" s="781" t="s">
        <v>983</v>
      </c>
      <c r="D55" s="781"/>
      <c r="E55" s="781"/>
      <c r="F55" s="781"/>
      <c r="G55" s="772" t="s">
        <v>177</v>
      </c>
      <c r="H55" s="782" t="s">
        <v>34</v>
      </c>
      <c r="I55" s="106"/>
      <c r="J55" s="662" t="e">
        <f t="shared" ref="J55:J56" si="0">H55*I55</f>
        <v>#VALUE!</v>
      </c>
    </row>
    <row r="56" spans="1:68" s="8" customFormat="1" ht="16.5" hidden="1" customHeight="1">
      <c r="A56" s="779"/>
      <c r="B56" s="780"/>
      <c r="C56" s="672" t="s">
        <v>713</v>
      </c>
      <c r="D56" s="67" t="e">
        <f>#REF!</f>
        <v>#REF!</v>
      </c>
      <c r="E56" s="109" t="str">
        <f>G55</f>
        <v>m2</v>
      </c>
      <c r="F56" s="67" t="s">
        <v>715</v>
      </c>
      <c r="G56" s="772"/>
      <c r="H56" s="782"/>
      <c r="I56" s="106"/>
      <c r="J56" s="662">
        <f t="shared" si="0"/>
        <v>0</v>
      </c>
    </row>
    <row r="57" spans="1:68" s="8" customFormat="1" ht="19.5" customHeight="1">
      <c r="A57" s="64" t="s">
        <v>34</v>
      </c>
      <c r="B57" s="450" t="s">
        <v>976</v>
      </c>
      <c r="C57" s="736" t="s">
        <v>975</v>
      </c>
      <c r="D57" s="736"/>
      <c r="E57" s="736"/>
      <c r="F57" s="736"/>
      <c r="G57" s="736" t="s">
        <v>8</v>
      </c>
      <c r="H57" s="736"/>
      <c r="I57" s="736"/>
      <c r="J57" s="736"/>
    </row>
    <row r="58" spans="1:68" s="11" customFormat="1" ht="29.25" customHeight="1">
      <c r="A58" s="86">
        <v>11</v>
      </c>
      <c r="B58" s="432" t="s">
        <v>977</v>
      </c>
      <c r="C58" s="778" t="s">
        <v>1017</v>
      </c>
      <c r="D58" s="778"/>
      <c r="E58" s="778"/>
      <c r="F58" s="778"/>
      <c r="G58" s="86" t="s">
        <v>176</v>
      </c>
      <c r="H58" s="87">
        <f>M5*2*0.5</f>
        <v>120</v>
      </c>
      <c r="I58" s="77"/>
      <c r="J58" s="662"/>
    </row>
    <row r="59" spans="1:68" ht="21" customHeight="1">
      <c r="A59" s="783" t="s">
        <v>1014</v>
      </c>
      <c r="B59" s="783"/>
      <c r="C59" s="783"/>
      <c r="D59" s="783"/>
      <c r="E59" s="783"/>
      <c r="F59" s="783"/>
      <c r="G59" s="783"/>
      <c r="H59" s="783"/>
      <c r="I59" s="783"/>
      <c r="J59" s="668"/>
    </row>
    <row r="60" spans="1:68" ht="21" customHeight="1">
      <c r="A60" s="783" t="s">
        <v>76</v>
      </c>
      <c r="B60" s="783"/>
      <c r="C60" s="783"/>
      <c r="D60" s="783"/>
      <c r="E60" s="783"/>
      <c r="F60" s="783"/>
      <c r="G60" s="783"/>
      <c r="H60" s="783"/>
      <c r="I60" s="783"/>
      <c r="J60" s="592"/>
    </row>
    <row r="61" spans="1:68" ht="21" customHeight="1">
      <c r="A61" s="783" t="s">
        <v>90</v>
      </c>
      <c r="B61" s="783"/>
      <c r="C61" s="783"/>
      <c r="D61" s="783"/>
      <c r="E61" s="783"/>
      <c r="F61" s="783"/>
      <c r="G61" s="783"/>
      <c r="H61" s="783"/>
      <c r="I61" s="783"/>
      <c r="J61" s="592"/>
    </row>
    <row r="62" spans="1:68" ht="21" customHeight="1">
      <c r="A62" s="553"/>
      <c r="B62" s="553"/>
      <c r="C62" s="554"/>
      <c r="D62" s="556"/>
      <c r="E62" s="555"/>
      <c r="F62" s="555"/>
      <c r="G62" s="500"/>
      <c r="H62" s="547"/>
    </row>
    <row r="63" spans="1:68" ht="12.75" customHeight="1">
      <c r="B63" s="494"/>
      <c r="C63" s="507"/>
      <c r="D63" s="504"/>
      <c r="E63" s="494"/>
      <c r="F63" s="526"/>
      <c r="G63" s="526"/>
    </row>
    <row r="64" spans="1:68" ht="12.75" customHeight="1">
      <c r="B64" s="494"/>
      <c r="C64" s="507"/>
      <c r="D64" s="504"/>
      <c r="E64" s="494"/>
      <c r="F64" s="526"/>
      <c r="G64" s="526"/>
    </row>
    <row r="65" spans="1:106" s="18" customFormat="1" ht="12.75" customHeight="1">
      <c r="A65" s="17"/>
      <c r="B65" s="494"/>
      <c r="C65" s="507"/>
      <c r="D65" s="504"/>
      <c r="E65" s="494"/>
      <c r="F65" s="526"/>
      <c r="G65" s="526"/>
      <c r="I65" s="40"/>
      <c r="J65" s="488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</row>
    <row r="66" spans="1:106" s="18" customFormat="1" ht="12.75" customHeight="1">
      <c r="A66" s="17"/>
      <c r="B66" s="494"/>
      <c r="C66" s="507"/>
      <c r="D66" s="504"/>
      <c r="E66" s="494"/>
      <c r="F66" s="526"/>
      <c r="G66" s="526"/>
      <c r="I66" s="40"/>
      <c r="J66" s="488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</row>
  </sheetData>
  <mergeCells count="92">
    <mergeCell ref="C57:J57"/>
    <mergeCell ref="C58:F58"/>
    <mergeCell ref="A59:I59"/>
    <mergeCell ref="A60:I60"/>
    <mergeCell ref="A61:I61"/>
    <mergeCell ref="C51:F51"/>
    <mergeCell ref="C52:J52"/>
    <mergeCell ref="C53:J53"/>
    <mergeCell ref="C54:F54"/>
    <mergeCell ref="A55:A56"/>
    <mergeCell ref="B55:B56"/>
    <mergeCell ref="C55:F55"/>
    <mergeCell ref="G55:G56"/>
    <mergeCell ref="H55:H56"/>
    <mergeCell ref="C45:J45"/>
    <mergeCell ref="C46:F46"/>
    <mergeCell ref="C47:J47"/>
    <mergeCell ref="C48:F48"/>
    <mergeCell ref="A49:A50"/>
    <mergeCell ref="B49:B50"/>
    <mergeCell ref="C49:F49"/>
    <mergeCell ref="G49:G50"/>
    <mergeCell ref="H49:H50"/>
    <mergeCell ref="H43:H44"/>
    <mergeCell ref="H36:H37"/>
    <mergeCell ref="C38:F38"/>
    <mergeCell ref="C39:F39"/>
    <mergeCell ref="A40:A41"/>
    <mergeCell ref="B40:B41"/>
    <mergeCell ref="C40:F40"/>
    <mergeCell ref="G40:G41"/>
    <mergeCell ref="H40:H41"/>
    <mergeCell ref="G36:G37"/>
    <mergeCell ref="C42:F42"/>
    <mergeCell ref="A43:A44"/>
    <mergeCell ref="B43:B44"/>
    <mergeCell ref="C43:F43"/>
    <mergeCell ref="G43:G44"/>
    <mergeCell ref="C34:F34"/>
    <mergeCell ref="C35:F35"/>
    <mergeCell ref="A36:A37"/>
    <mergeCell ref="B36:B37"/>
    <mergeCell ref="C36:F36"/>
    <mergeCell ref="C28:F28"/>
    <mergeCell ref="C29:J29"/>
    <mergeCell ref="C30:H30"/>
    <mergeCell ref="C31:F31"/>
    <mergeCell ref="A32:A33"/>
    <mergeCell ref="B32:B33"/>
    <mergeCell ref="C32:F32"/>
    <mergeCell ref="G32:G33"/>
    <mergeCell ref="H32:H33"/>
    <mergeCell ref="C27:J27"/>
    <mergeCell ref="M14:P14"/>
    <mergeCell ref="C16:F16"/>
    <mergeCell ref="C17:J17"/>
    <mergeCell ref="C18:J18"/>
    <mergeCell ref="C19:F19"/>
    <mergeCell ref="C22:J22"/>
    <mergeCell ref="C23:J23"/>
    <mergeCell ref="C24:F24"/>
    <mergeCell ref="C25:J25"/>
    <mergeCell ref="C26:F26"/>
    <mergeCell ref="A20:A21"/>
    <mergeCell ref="B20:B21"/>
    <mergeCell ref="C20:F20"/>
    <mergeCell ref="G20:G21"/>
    <mergeCell ref="H20:H21"/>
    <mergeCell ref="C12:J12"/>
    <mergeCell ref="C13:F13"/>
    <mergeCell ref="A14:A15"/>
    <mergeCell ref="B14:B15"/>
    <mergeCell ref="C14:F14"/>
    <mergeCell ref="G14:G15"/>
    <mergeCell ref="H14:H15"/>
    <mergeCell ref="C8:J8"/>
    <mergeCell ref="C9:F9"/>
    <mergeCell ref="A10:A11"/>
    <mergeCell ref="B10:B11"/>
    <mergeCell ref="C10:F10"/>
    <mergeCell ref="G10:G11"/>
    <mergeCell ref="H10:H11"/>
    <mergeCell ref="A1:J1"/>
    <mergeCell ref="A2:J2"/>
    <mergeCell ref="C3:F3"/>
    <mergeCell ref="B4:J4"/>
    <mergeCell ref="C5:J5"/>
    <mergeCell ref="A6:A7"/>
    <mergeCell ref="B6:B7"/>
    <mergeCell ref="C6:F6"/>
    <mergeCell ref="G6:G7"/>
    <mergeCell ref="H6:H7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6"/>
  <sheetViews>
    <sheetView view="pageBreakPreview" zoomScaleNormal="100" zoomScaleSheetLayoutView="100" workbookViewId="0">
      <selection activeCell="A2" sqref="A2:J2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44" t="s">
        <v>1084</v>
      </c>
      <c r="B1" s="744"/>
      <c r="C1" s="744"/>
      <c r="D1" s="744"/>
      <c r="E1" s="744"/>
      <c r="F1" s="744"/>
      <c r="G1" s="744"/>
      <c r="H1" s="744"/>
      <c r="I1" s="744"/>
      <c r="J1" s="744"/>
    </row>
    <row r="2" spans="1:18" s="4" customFormat="1" ht="39" customHeight="1">
      <c r="A2" s="760" t="s">
        <v>1048</v>
      </c>
      <c r="B2" s="760"/>
      <c r="C2" s="760"/>
      <c r="D2" s="760"/>
      <c r="E2" s="760"/>
      <c r="F2" s="760"/>
      <c r="G2" s="760"/>
      <c r="H2" s="760"/>
      <c r="I2" s="760"/>
      <c r="J2" s="760"/>
    </row>
    <row r="3" spans="1:18" ht="45" customHeight="1">
      <c r="A3" s="74" t="s">
        <v>3</v>
      </c>
      <c r="B3" s="449" t="s">
        <v>199</v>
      </c>
      <c r="C3" s="755" t="s">
        <v>4</v>
      </c>
      <c r="D3" s="755"/>
      <c r="E3" s="755"/>
      <c r="F3" s="755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61" t="s">
        <v>1006</v>
      </c>
      <c r="C4" s="761"/>
      <c r="D4" s="761"/>
      <c r="E4" s="761"/>
      <c r="F4" s="761"/>
      <c r="G4" s="761"/>
      <c r="H4" s="761"/>
      <c r="I4" s="761"/>
      <c r="J4" s="761"/>
      <c r="M4" s="40" t="s">
        <v>1032</v>
      </c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  <c r="M5" s="1">
        <v>64</v>
      </c>
    </row>
    <row r="6" spans="1:18" ht="44.25" hidden="1" customHeight="1">
      <c r="A6" s="755"/>
      <c r="B6" s="756"/>
      <c r="C6" s="757" t="s">
        <v>733</v>
      </c>
      <c r="D6" s="757"/>
      <c r="E6" s="757"/>
      <c r="F6" s="757"/>
      <c r="G6" s="758" t="s">
        <v>177</v>
      </c>
      <c r="H6" s="759" t="s">
        <v>34</v>
      </c>
      <c r="I6" s="377"/>
      <c r="J6" s="521"/>
    </row>
    <row r="7" spans="1:18" ht="21.75" hidden="1" customHeight="1">
      <c r="A7" s="755"/>
      <c r="B7" s="756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58"/>
      <c r="H7" s="759"/>
      <c r="I7" s="377"/>
      <c r="J7" s="521"/>
    </row>
    <row r="8" spans="1:18" ht="18" customHeight="1">
      <c r="A8" s="64" t="s">
        <v>34</v>
      </c>
      <c r="B8" s="571" t="s">
        <v>14</v>
      </c>
      <c r="C8" s="736" t="s">
        <v>108</v>
      </c>
      <c r="D8" s="736"/>
      <c r="E8" s="736"/>
      <c r="F8" s="736"/>
      <c r="G8" s="736"/>
      <c r="H8" s="736"/>
      <c r="I8" s="736"/>
      <c r="J8" s="736"/>
    </row>
    <row r="9" spans="1:18" s="14" customFormat="1" ht="31.5" customHeight="1">
      <c r="A9" s="74">
        <v>1</v>
      </c>
      <c r="B9" s="449" t="s">
        <v>952</v>
      </c>
      <c r="C9" s="762" t="s">
        <v>1018</v>
      </c>
      <c r="D9" s="762"/>
      <c r="E9" s="762"/>
      <c r="F9" s="762"/>
      <c r="G9" s="74" t="s">
        <v>176</v>
      </c>
      <c r="H9" s="78">
        <f>M5*1</f>
        <v>64</v>
      </c>
      <c r="I9" s="78"/>
      <c r="J9" s="662"/>
    </row>
    <row r="10" spans="1:18" ht="54" hidden="1" customHeight="1">
      <c r="A10" s="755"/>
      <c r="B10" s="763"/>
      <c r="C10" s="764" t="s">
        <v>969</v>
      </c>
      <c r="D10" s="764"/>
      <c r="E10" s="764"/>
      <c r="F10" s="764"/>
      <c r="G10" s="758" t="s">
        <v>177</v>
      </c>
      <c r="H10" s="765" t="s">
        <v>34</v>
      </c>
      <c r="I10" s="377"/>
      <c r="J10" s="521"/>
    </row>
    <row r="11" spans="1:18" ht="21" hidden="1" customHeight="1">
      <c r="A11" s="755"/>
      <c r="B11" s="763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58"/>
      <c r="H11" s="765"/>
      <c r="I11" s="377"/>
      <c r="J11" s="521"/>
    </row>
    <row r="12" spans="1:18" ht="17.25" customHeight="1">
      <c r="A12" s="64" t="s">
        <v>34</v>
      </c>
      <c r="B12" s="571" t="s">
        <v>15</v>
      </c>
      <c r="C12" s="736" t="s">
        <v>10</v>
      </c>
      <c r="D12" s="736"/>
      <c r="E12" s="736"/>
      <c r="F12" s="736"/>
      <c r="G12" s="736"/>
      <c r="H12" s="736"/>
      <c r="I12" s="736"/>
      <c r="J12" s="736"/>
      <c r="R12" s="40">
        <v>13</v>
      </c>
    </row>
    <row r="13" spans="1:18" ht="50.25" customHeight="1">
      <c r="A13" s="74">
        <v>2</v>
      </c>
      <c r="B13" s="66" t="s">
        <v>109</v>
      </c>
      <c r="C13" s="762" t="s">
        <v>1020</v>
      </c>
      <c r="D13" s="762"/>
      <c r="E13" s="762"/>
      <c r="F13" s="762"/>
      <c r="G13" s="74" t="s">
        <v>176</v>
      </c>
      <c r="H13" s="78">
        <f>2.2*M5</f>
        <v>140.80000000000001</v>
      </c>
      <c r="I13" s="78"/>
      <c r="J13" s="662"/>
    </row>
    <row r="14" spans="1:18" ht="25.5" hidden="1" customHeight="1">
      <c r="A14" s="786"/>
      <c r="B14" s="787"/>
      <c r="C14" s="788" t="s">
        <v>974</v>
      </c>
      <c r="D14" s="788"/>
      <c r="E14" s="788"/>
      <c r="F14" s="788"/>
      <c r="G14" s="789" t="s">
        <v>920</v>
      </c>
      <c r="H14" s="790" t="s">
        <v>34</v>
      </c>
      <c r="I14" s="377"/>
      <c r="J14" s="521"/>
      <c r="M14" s="784"/>
      <c r="N14" s="784"/>
      <c r="O14" s="784"/>
      <c r="P14" s="784"/>
    </row>
    <row r="15" spans="1:18" ht="20.25" hidden="1" customHeight="1">
      <c r="A15" s="786"/>
      <c r="B15" s="787"/>
      <c r="C15" s="645" t="s">
        <v>713</v>
      </c>
      <c r="D15" s="652" t="e">
        <f>#REF!</f>
        <v>#REF!</v>
      </c>
      <c r="E15" s="290" t="s">
        <v>708</v>
      </c>
      <c r="F15" s="652" t="s">
        <v>718</v>
      </c>
      <c r="G15" s="789"/>
      <c r="H15" s="790"/>
      <c r="I15" s="377"/>
      <c r="J15" s="521"/>
    </row>
    <row r="16" spans="1:18" ht="36.75" customHeight="1">
      <c r="A16" s="74">
        <v>3</v>
      </c>
      <c r="B16" s="641" t="s">
        <v>31</v>
      </c>
      <c r="C16" s="785" t="s">
        <v>1019</v>
      </c>
      <c r="D16" s="785"/>
      <c r="E16" s="785"/>
      <c r="F16" s="785"/>
      <c r="G16" s="74" t="s">
        <v>176</v>
      </c>
      <c r="H16" s="78">
        <v>5</v>
      </c>
      <c r="I16" s="78"/>
      <c r="J16" s="662"/>
    </row>
    <row r="17" spans="1:106" ht="32.25" customHeight="1">
      <c r="A17" s="21"/>
      <c r="B17" s="448" t="s">
        <v>111</v>
      </c>
      <c r="C17" s="737" t="s">
        <v>189</v>
      </c>
      <c r="D17" s="737"/>
      <c r="E17" s="737"/>
      <c r="F17" s="737"/>
      <c r="G17" s="737"/>
      <c r="H17" s="737"/>
      <c r="I17" s="737"/>
      <c r="J17" s="737"/>
    </row>
    <row r="18" spans="1:106" s="15" customFormat="1" ht="21" customHeight="1">
      <c r="A18" s="64" t="s">
        <v>34</v>
      </c>
      <c r="B18" s="571" t="s">
        <v>142</v>
      </c>
      <c r="C18" s="736" t="s">
        <v>147</v>
      </c>
      <c r="D18" s="736"/>
      <c r="E18" s="736"/>
      <c r="F18" s="736"/>
      <c r="G18" s="736"/>
      <c r="H18" s="736"/>
      <c r="I18" s="736"/>
      <c r="J18" s="736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</row>
    <row r="19" spans="1:106" s="15" customFormat="1" ht="37.5" customHeight="1">
      <c r="A19" s="74">
        <v>4</v>
      </c>
      <c r="B19" s="572" t="s">
        <v>143</v>
      </c>
      <c r="C19" s="768" t="s">
        <v>1046</v>
      </c>
      <c r="D19" s="768"/>
      <c r="E19" s="768"/>
      <c r="F19" s="768"/>
      <c r="G19" s="74" t="s">
        <v>179</v>
      </c>
      <c r="H19" s="78">
        <f>M5*0.7</f>
        <v>44.8</v>
      </c>
      <c r="I19" s="78"/>
      <c r="J19" s="662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54" hidden="1" customHeight="1">
      <c r="A20" s="755"/>
      <c r="B20" s="766"/>
      <c r="C20" s="764" t="s">
        <v>978</v>
      </c>
      <c r="D20" s="764"/>
      <c r="E20" s="764"/>
      <c r="F20" s="764"/>
      <c r="G20" s="758" t="s">
        <v>178</v>
      </c>
      <c r="H20" s="767" t="s">
        <v>34</v>
      </c>
      <c r="I20" s="632"/>
      <c r="J20" s="66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15" customFormat="1" ht="18" hidden="1" customHeight="1">
      <c r="A21" s="755"/>
      <c r="B21" s="766"/>
      <c r="C21" s="672" t="s">
        <v>714</v>
      </c>
      <c r="D21" s="67" t="e">
        <f>#REF!</f>
        <v>#REF!</v>
      </c>
      <c r="E21" s="109" t="str">
        <f>G20</f>
        <v>m3</v>
      </c>
      <c r="F21" s="67" t="s">
        <v>716</v>
      </c>
      <c r="G21" s="758"/>
      <c r="H21" s="767"/>
      <c r="I21" s="632"/>
      <c r="J21" s="66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</row>
    <row r="22" spans="1:106" s="3" customFormat="1" ht="31.5" customHeight="1">
      <c r="A22" s="21"/>
      <c r="B22" s="448" t="s">
        <v>57</v>
      </c>
      <c r="C22" s="737" t="s">
        <v>181</v>
      </c>
      <c r="D22" s="737"/>
      <c r="E22" s="737"/>
      <c r="F22" s="737"/>
      <c r="G22" s="737"/>
      <c r="H22" s="737"/>
      <c r="I22" s="737"/>
      <c r="J22" s="737"/>
    </row>
    <row r="23" spans="1:106" s="1" customFormat="1" ht="18" customHeight="1">
      <c r="A23" s="64" t="s">
        <v>34</v>
      </c>
      <c r="B23" s="571" t="s">
        <v>98</v>
      </c>
      <c r="C23" s="736" t="s">
        <v>99</v>
      </c>
      <c r="D23" s="736"/>
      <c r="E23" s="736"/>
      <c r="F23" s="736"/>
      <c r="G23" s="736"/>
      <c r="H23" s="736"/>
      <c r="I23" s="736"/>
      <c r="J23" s="736"/>
    </row>
    <row r="24" spans="1:106" s="1" customFormat="1" ht="33" customHeight="1">
      <c r="A24" s="86">
        <v>5</v>
      </c>
      <c r="B24" s="431" t="s">
        <v>970</v>
      </c>
      <c r="C24" s="778" t="s">
        <v>1011</v>
      </c>
      <c r="D24" s="778"/>
      <c r="E24" s="778"/>
      <c r="F24" s="778"/>
      <c r="G24" s="86" t="s">
        <v>176</v>
      </c>
      <c r="H24" s="87">
        <f>M5*3.2</f>
        <v>204.8</v>
      </c>
      <c r="I24" s="566"/>
      <c r="J24" s="662"/>
    </row>
    <row r="25" spans="1:106" s="1" customFormat="1" ht="33" customHeight="1">
      <c r="A25" s="64" t="s">
        <v>34</v>
      </c>
      <c r="B25" s="571" t="s">
        <v>114</v>
      </c>
      <c r="C25" s="736" t="s">
        <v>1024</v>
      </c>
      <c r="D25" s="736"/>
      <c r="E25" s="736"/>
      <c r="F25" s="736"/>
      <c r="G25" s="736"/>
      <c r="H25" s="736"/>
      <c r="I25" s="736"/>
      <c r="J25" s="736"/>
    </row>
    <row r="26" spans="1:106" s="1" customFormat="1" ht="33" customHeight="1">
      <c r="A26" s="86">
        <v>6</v>
      </c>
      <c r="B26" s="564" t="s">
        <v>162</v>
      </c>
      <c r="C26" s="778" t="s">
        <v>1023</v>
      </c>
      <c r="D26" s="778"/>
      <c r="E26" s="778"/>
      <c r="F26" s="778"/>
      <c r="G26" s="86" t="s">
        <v>176</v>
      </c>
      <c r="H26" s="87">
        <f>M5*3.2</f>
        <v>204.8</v>
      </c>
      <c r="I26" s="566"/>
      <c r="J26" s="662"/>
    </row>
    <row r="27" spans="1:106" s="8" customFormat="1" ht="18" customHeight="1">
      <c r="A27" s="64" t="s">
        <v>34</v>
      </c>
      <c r="B27" s="571" t="s">
        <v>972</v>
      </c>
      <c r="C27" s="736" t="s">
        <v>20</v>
      </c>
      <c r="D27" s="736"/>
      <c r="E27" s="736"/>
      <c r="F27" s="736"/>
      <c r="G27" s="736"/>
      <c r="H27" s="736"/>
      <c r="I27" s="736"/>
      <c r="J27" s="736"/>
    </row>
    <row r="28" spans="1:106" s="8" customFormat="1" ht="30" customHeight="1">
      <c r="A28" s="86">
        <v>7</v>
      </c>
      <c r="B28" s="623" t="s">
        <v>984</v>
      </c>
      <c r="C28" s="769" t="s">
        <v>485</v>
      </c>
      <c r="D28" s="769"/>
      <c r="E28" s="769"/>
      <c r="F28" s="769"/>
      <c r="G28" s="86" t="s">
        <v>176</v>
      </c>
      <c r="H28" s="87">
        <f>M5*3.2</f>
        <v>204.8</v>
      </c>
      <c r="I28" s="566"/>
      <c r="J28" s="662"/>
    </row>
    <row r="29" spans="1:106" s="8" customFormat="1" ht="33" customHeight="1">
      <c r="A29" s="524"/>
      <c r="B29" s="524" t="s">
        <v>59</v>
      </c>
      <c r="C29" s="770" t="s">
        <v>182</v>
      </c>
      <c r="D29" s="770"/>
      <c r="E29" s="770"/>
      <c r="F29" s="770"/>
      <c r="G29" s="770"/>
      <c r="H29" s="770"/>
      <c r="I29" s="770"/>
      <c r="J29" s="770"/>
      <c r="L29" s="8" t="s">
        <v>1081</v>
      </c>
    </row>
    <row r="30" spans="1:106" s="16" customFormat="1" ht="25.5" hidden="1" customHeight="1">
      <c r="A30" s="64" t="s">
        <v>34</v>
      </c>
      <c r="B30" s="276" t="s">
        <v>116</v>
      </c>
      <c r="C30" s="741" t="s">
        <v>776</v>
      </c>
      <c r="D30" s="741"/>
      <c r="E30" s="741"/>
      <c r="F30" s="741"/>
      <c r="G30" s="741" t="s">
        <v>8</v>
      </c>
      <c r="H30" s="741"/>
      <c r="I30" s="673"/>
      <c r="J30" s="66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</row>
    <row r="31" spans="1:106" s="204" customFormat="1" ht="29.25" hidden="1" customHeight="1">
      <c r="A31" s="86">
        <v>27</v>
      </c>
      <c r="B31" s="650" t="s">
        <v>116</v>
      </c>
      <c r="C31" s="771" t="s">
        <v>820</v>
      </c>
      <c r="D31" s="771"/>
      <c r="E31" s="771"/>
      <c r="F31" s="771"/>
      <c r="G31" s="289" t="s">
        <v>919</v>
      </c>
      <c r="H31" s="671" t="e">
        <f>SUM(#REF!)</f>
        <v>#REF!</v>
      </c>
      <c r="I31" s="674"/>
      <c r="J31" s="66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</row>
    <row r="32" spans="1:106" s="204" customFormat="1" ht="29.25" hidden="1" customHeight="1">
      <c r="A32" s="772"/>
      <c r="B32" s="773"/>
      <c r="C32" s="774" t="s">
        <v>778</v>
      </c>
      <c r="D32" s="774"/>
      <c r="E32" s="774"/>
      <c r="F32" s="774"/>
      <c r="G32" s="775" t="s">
        <v>920</v>
      </c>
      <c r="H32" s="776" t="s">
        <v>34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0.25" hidden="1" customHeight="1">
      <c r="A33" s="772"/>
      <c r="B33" s="773"/>
      <c r="C33" s="645" t="s">
        <v>713</v>
      </c>
      <c r="D33" s="652" t="e">
        <f>#REF!</f>
        <v>#REF!</v>
      </c>
      <c r="E33" s="290" t="str">
        <f>G32</f>
        <v>m2</v>
      </c>
      <c r="F33" s="652" t="s">
        <v>716</v>
      </c>
      <c r="G33" s="775"/>
      <c r="H33" s="776"/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276" t="s">
        <v>34</v>
      </c>
      <c r="B34" s="276" t="s">
        <v>845</v>
      </c>
      <c r="C34" s="741" t="s">
        <v>847</v>
      </c>
      <c r="D34" s="741" t="s">
        <v>8</v>
      </c>
      <c r="E34" s="741"/>
      <c r="F34" s="741"/>
      <c r="G34" s="655" t="s">
        <v>8</v>
      </c>
      <c r="H34" s="655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36" hidden="1" customHeight="1">
      <c r="A35" s="593">
        <v>44</v>
      </c>
      <c r="B35" s="656" t="s">
        <v>846</v>
      </c>
      <c r="C35" s="771" t="s">
        <v>915</v>
      </c>
      <c r="D35" s="771"/>
      <c r="E35" s="771"/>
      <c r="F35" s="771"/>
      <c r="G35" s="289" t="s">
        <v>919</v>
      </c>
      <c r="H35" s="671" t="e">
        <f>SUM(#REF!)</f>
        <v>#REF!</v>
      </c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45.75" hidden="1" customHeight="1">
      <c r="A36" s="775"/>
      <c r="B36" s="773"/>
      <c r="C36" s="774" t="s">
        <v>940</v>
      </c>
      <c r="D36" s="774"/>
      <c r="E36" s="774"/>
      <c r="F36" s="774"/>
      <c r="G36" s="775" t="s">
        <v>920</v>
      </c>
      <c r="H36" s="776" t="s">
        <v>34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24.75" hidden="1" customHeight="1">
      <c r="A37" s="775"/>
      <c r="B37" s="773"/>
      <c r="C37" s="645" t="s">
        <v>713</v>
      </c>
      <c r="D37" s="652" t="e">
        <f>#REF!</f>
        <v>#REF!</v>
      </c>
      <c r="E37" s="290" t="str">
        <f>G36</f>
        <v>m2</v>
      </c>
      <c r="F37" s="652" t="s">
        <v>811</v>
      </c>
      <c r="G37" s="775"/>
      <c r="H37" s="776"/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34.5" hidden="1" customHeight="1">
      <c r="A38" s="64" t="s">
        <v>34</v>
      </c>
      <c r="B38" s="276" t="s">
        <v>848</v>
      </c>
      <c r="C38" s="741" t="s">
        <v>849</v>
      </c>
      <c r="D38" s="741" t="s">
        <v>8</v>
      </c>
      <c r="E38" s="741"/>
      <c r="F38" s="741"/>
      <c r="G38" s="655" t="s">
        <v>8</v>
      </c>
      <c r="H38" s="655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20.25" hidden="1" customHeight="1">
      <c r="A39" s="458">
        <v>29</v>
      </c>
      <c r="B39" s="656" t="s">
        <v>846</v>
      </c>
      <c r="C39" s="771" t="s">
        <v>844</v>
      </c>
      <c r="D39" s="771"/>
      <c r="E39" s="771"/>
      <c r="F39" s="771"/>
      <c r="G39" s="289" t="s">
        <v>919</v>
      </c>
      <c r="H39" s="671" t="e">
        <f>SUM(#REF!)</f>
        <v>#REF!</v>
      </c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47.25" hidden="1" customHeight="1">
      <c r="A40" s="772"/>
      <c r="B40" s="773"/>
      <c r="C40" s="774" t="s">
        <v>843</v>
      </c>
      <c r="D40" s="774"/>
      <c r="E40" s="774"/>
      <c r="F40" s="774"/>
      <c r="G40" s="775" t="s">
        <v>920</v>
      </c>
      <c r="H40" s="776" t="s">
        <v>34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20.25" hidden="1" customHeight="1">
      <c r="A41" s="772"/>
      <c r="B41" s="773"/>
      <c r="C41" s="645" t="s">
        <v>713</v>
      </c>
      <c r="D41" s="652" t="e">
        <f>#REF!</f>
        <v>#REF!</v>
      </c>
      <c r="E41" s="290" t="str">
        <f>G40</f>
        <v>m2</v>
      </c>
      <c r="F41" s="652" t="s">
        <v>811</v>
      </c>
      <c r="G41" s="775"/>
      <c r="H41" s="776"/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458">
        <v>30</v>
      </c>
      <c r="B42" s="656" t="s">
        <v>851</v>
      </c>
      <c r="C42" s="771" t="s">
        <v>852</v>
      </c>
      <c r="D42" s="771"/>
      <c r="E42" s="771"/>
      <c r="F42" s="771"/>
      <c r="G42" s="289" t="s">
        <v>919</v>
      </c>
      <c r="H42" s="671" t="e">
        <f>SUM(#REF!)</f>
        <v>#REF!</v>
      </c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45.75" hidden="1" customHeight="1">
      <c r="A43" s="772"/>
      <c r="B43" s="773"/>
      <c r="C43" s="774" t="s">
        <v>853</v>
      </c>
      <c r="D43" s="774"/>
      <c r="E43" s="774"/>
      <c r="F43" s="774"/>
      <c r="G43" s="775" t="s">
        <v>920</v>
      </c>
      <c r="H43" s="776" t="s">
        <v>34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20.25" hidden="1" customHeight="1">
      <c r="A44" s="772"/>
      <c r="B44" s="773"/>
      <c r="C44" s="645" t="s">
        <v>713</v>
      </c>
      <c r="D44" s="652" t="e">
        <f>#REF!</f>
        <v>#REF!</v>
      </c>
      <c r="E44" s="290" t="str">
        <f>G43</f>
        <v>m2</v>
      </c>
      <c r="F44" s="652" t="s">
        <v>811</v>
      </c>
      <c r="G44" s="775"/>
      <c r="H44" s="776"/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customHeight="1">
      <c r="A45" s="571"/>
      <c r="B45" s="64" t="s">
        <v>116</v>
      </c>
      <c r="C45" s="736" t="s">
        <v>776</v>
      </c>
      <c r="D45" s="736"/>
      <c r="E45" s="736"/>
      <c r="F45" s="736"/>
      <c r="G45" s="736"/>
      <c r="H45" s="736"/>
      <c r="I45" s="736"/>
      <c r="J45" s="736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36.75" customHeight="1">
      <c r="A46" s="679" t="s">
        <v>1022</v>
      </c>
      <c r="B46" s="564" t="s">
        <v>213</v>
      </c>
      <c r="C46" s="769" t="s">
        <v>1021</v>
      </c>
      <c r="D46" s="769"/>
      <c r="E46" s="769"/>
      <c r="F46" s="769"/>
      <c r="G46" s="458" t="s">
        <v>176</v>
      </c>
      <c r="H46" s="566">
        <v>12</v>
      </c>
      <c r="I46" s="389"/>
      <c r="J46" s="662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22.5" customHeight="1">
      <c r="A47" s="64" t="s">
        <v>34</v>
      </c>
      <c r="B47" s="64" t="s">
        <v>21</v>
      </c>
      <c r="C47" s="736" t="s">
        <v>1078</v>
      </c>
      <c r="D47" s="736"/>
      <c r="E47" s="736"/>
      <c r="F47" s="736"/>
      <c r="G47" s="736"/>
      <c r="H47" s="736"/>
      <c r="I47" s="736"/>
      <c r="J47" s="736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8" s="204" customFormat="1" ht="30.75" hidden="1" customHeight="1">
      <c r="A48" s="289">
        <v>45</v>
      </c>
      <c r="B48" s="656" t="s">
        <v>816</v>
      </c>
      <c r="C48" s="771" t="s">
        <v>935</v>
      </c>
      <c r="D48" s="771"/>
      <c r="E48" s="771"/>
      <c r="F48" s="771"/>
      <c r="G48" s="289" t="s">
        <v>924</v>
      </c>
      <c r="H48" s="671" t="e">
        <f>SUM(#REF!)</f>
        <v>#REF!</v>
      </c>
      <c r="I48" s="674"/>
      <c r="J48" s="665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6.75" hidden="1" customHeight="1">
      <c r="A49" s="775"/>
      <c r="B49" s="777"/>
      <c r="C49" s="774" t="s">
        <v>936</v>
      </c>
      <c r="D49" s="774"/>
      <c r="E49" s="774"/>
      <c r="F49" s="774"/>
      <c r="G49" s="775" t="s">
        <v>924</v>
      </c>
      <c r="H49" s="776" t="s">
        <v>34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0" hidden="1" customHeight="1">
      <c r="A50" s="775"/>
      <c r="B50" s="777"/>
      <c r="C50" s="645" t="s">
        <v>713</v>
      </c>
      <c r="D50" s="652" t="e">
        <f>#REF!</f>
        <v>#REF!</v>
      </c>
      <c r="E50" s="290" t="s">
        <v>924</v>
      </c>
      <c r="F50" s="652" t="s">
        <v>716</v>
      </c>
      <c r="G50" s="775"/>
      <c r="H50" s="776"/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43.5" customHeight="1">
      <c r="A51" s="86">
        <v>9</v>
      </c>
      <c r="B51" s="564" t="s">
        <v>1008</v>
      </c>
      <c r="C51" s="778" t="s">
        <v>1079</v>
      </c>
      <c r="D51" s="778"/>
      <c r="E51" s="778"/>
      <c r="F51" s="778"/>
      <c r="G51" s="86" t="s">
        <v>176</v>
      </c>
      <c r="H51" s="77">
        <f>M5*3*1.05</f>
        <v>201.6</v>
      </c>
      <c r="I51" s="77"/>
      <c r="J51" s="662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41" customFormat="1" ht="35.25" customHeight="1">
      <c r="A52" s="21"/>
      <c r="B52" s="448" t="s">
        <v>60</v>
      </c>
      <c r="C52" s="737" t="s">
        <v>183</v>
      </c>
      <c r="D52" s="737"/>
      <c r="E52" s="737"/>
      <c r="F52" s="737"/>
      <c r="G52" s="737"/>
      <c r="H52" s="737"/>
      <c r="I52" s="737"/>
      <c r="J52" s="73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</row>
    <row r="53" spans="1:68" s="8" customFormat="1" ht="19.5" customHeight="1">
      <c r="A53" s="64" t="s">
        <v>34</v>
      </c>
      <c r="B53" s="571" t="s">
        <v>23</v>
      </c>
      <c r="C53" s="736" t="s">
        <v>167</v>
      </c>
      <c r="D53" s="736"/>
      <c r="E53" s="736"/>
      <c r="F53" s="736"/>
      <c r="G53" s="736" t="s">
        <v>8</v>
      </c>
      <c r="H53" s="736"/>
      <c r="I53" s="736"/>
      <c r="J53" s="736"/>
    </row>
    <row r="54" spans="1:68" s="11" customFormat="1" ht="28.5" customHeight="1">
      <c r="A54" s="86">
        <v>10</v>
      </c>
      <c r="B54" s="432" t="s">
        <v>0</v>
      </c>
      <c r="C54" s="778" t="s">
        <v>74</v>
      </c>
      <c r="D54" s="778"/>
      <c r="E54" s="778"/>
      <c r="F54" s="778"/>
      <c r="G54" s="86" t="s">
        <v>176</v>
      </c>
      <c r="H54" s="87">
        <f>H9/2</f>
        <v>32</v>
      </c>
      <c r="I54" s="566"/>
      <c r="J54" s="662"/>
    </row>
    <row r="55" spans="1:68" s="8" customFormat="1" ht="38.25" hidden="1" customHeight="1">
      <c r="A55" s="779"/>
      <c r="B55" s="780"/>
      <c r="C55" s="781" t="s">
        <v>983</v>
      </c>
      <c r="D55" s="781"/>
      <c r="E55" s="781"/>
      <c r="F55" s="781"/>
      <c r="G55" s="772" t="s">
        <v>177</v>
      </c>
      <c r="H55" s="782" t="s">
        <v>34</v>
      </c>
      <c r="I55" s="106"/>
      <c r="J55" s="662" t="e">
        <f t="shared" ref="J55:J56" si="0">H55*I55</f>
        <v>#VALUE!</v>
      </c>
    </row>
    <row r="56" spans="1:68" s="8" customFormat="1" ht="16.5" hidden="1" customHeight="1">
      <c r="A56" s="779"/>
      <c r="B56" s="780"/>
      <c r="C56" s="672" t="s">
        <v>713</v>
      </c>
      <c r="D56" s="67" t="e">
        <f>#REF!</f>
        <v>#REF!</v>
      </c>
      <c r="E56" s="109" t="str">
        <f>G55</f>
        <v>m2</v>
      </c>
      <c r="F56" s="67" t="s">
        <v>715</v>
      </c>
      <c r="G56" s="772"/>
      <c r="H56" s="782"/>
      <c r="I56" s="106"/>
      <c r="J56" s="662">
        <f t="shared" si="0"/>
        <v>0</v>
      </c>
    </row>
    <row r="57" spans="1:68" s="8" customFormat="1" ht="19.5" customHeight="1">
      <c r="A57" s="64" t="s">
        <v>34</v>
      </c>
      <c r="B57" s="450" t="s">
        <v>976</v>
      </c>
      <c r="C57" s="736" t="s">
        <v>975</v>
      </c>
      <c r="D57" s="736"/>
      <c r="E57" s="736"/>
      <c r="F57" s="736"/>
      <c r="G57" s="736" t="s">
        <v>8</v>
      </c>
      <c r="H57" s="736"/>
      <c r="I57" s="736"/>
      <c r="J57" s="736"/>
    </row>
    <row r="58" spans="1:68" s="11" customFormat="1" ht="29.25" customHeight="1">
      <c r="A58" s="86">
        <v>11</v>
      </c>
      <c r="B58" s="432" t="s">
        <v>977</v>
      </c>
      <c r="C58" s="778" t="s">
        <v>1017</v>
      </c>
      <c r="D58" s="778"/>
      <c r="E58" s="778"/>
      <c r="F58" s="778"/>
      <c r="G58" s="86" t="s">
        <v>176</v>
      </c>
      <c r="H58" s="87">
        <f>M5*2*0.5</f>
        <v>64</v>
      </c>
      <c r="I58" s="77"/>
      <c r="J58" s="662"/>
    </row>
    <row r="59" spans="1:68" ht="21" customHeight="1">
      <c r="A59" s="783" t="s">
        <v>1014</v>
      </c>
      <c r="B59" s="783"/>
      <c r="C59" s="783"/>
      <c r="D59" s="783"/>
      <c r="E59" s="783"/>
      <c r="F59" s="783"/>
      <c r="G59" s="783"/>
      <c r="H59" s="783"/>
      <c r="I59" s="783"/>
      <c r="J59" s="668"/>
    </row>
    <row r="60" spans="1:68" ht="21" customHeight="1">
      <c r="A60" s="783" t="s">
        <v>76</v>
      </c>
      <c r="B60" s="783"/>
      <c r="C60" s="783"/>
      <c r="D60" s="783"/>
      <c r="E60" s="783"/>
      <c r="F60" s="783"/>
      <c r="G60" s="783"/>
      <c r="H60" s="783"/>
      <c r="I60" s="783"/>
      <c r="J60" s="592"/>
    </row>
    <row r="61" spans="1:68" ht="21" customHeight="1">
      <c r="A61" s="783" t="s">
        <v>90</v>
      </c>
      <c r="B61" s="783"/>
      <c r="C61" s="783"/>
      <c r="D61" s="783"/>
      <c r="E61" s="783"/>
      <c r="F61" s="783"/>
      <c r="G61" s="783"/>
      <c r="H61" s="783"/>
      <c r="I61" s="783"/>
      <c r="J61" s="592"/>
    </row>
    <row r="62" spans="1:68" ht="21" customHeight="1">
      <c r="A62" s="553"/>
      <c r="B62" s="553"/>
      <c r="C62" s="554"/>
      <c r="D62" s="556"/>
      <c r="E62" s="555"/>
      <c r="F62" s="555"/>
      <c r="G62" s="500"/>
      <c r="H62" s="547"/>
    </row>
    <row r="63" spans="1:68" ht="12.75" customHeight="1">
      <c r="B63" s="494"/>
      <c r="C63" s="507"/>
      <c r="D63" s="504"/>
      <c r="E63" s="494"/>
      <c r="F63" s="526"/>
      <c r="G63" s="526"/>
    </row>
    <row r="64" spans="1:68" ht="12.75" customHeight="1">
      <c r="B64" s="494"/>
      <c r="C64" s="507"/>
      <c r="D64" s="504"/>
      <c r="E64" s="494"/>
      <c r="F64" s="526"/>
      <c r="G64" s="526"/>
    </row>
    <row r="65" spans="1:106" s="18" customFormat="1" ht="12.75" customHeight="1">
      <c r="A65" s="17"/>
      <c r="B65" s="494"/>
      <c r="C65" s="507"/>
      <c r="D65" s="504"/>
      <c r="E65" s="494"/>
      <c r="F65" s="526"/>
      <c r="G65" s="526"/>
      <c r="I65" s="40"/>
      <c r="J65" s="488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</row>
    <row r="66" spans="1:106" s="18" customFormat="1" ht="12.75" customHeight="1">
      <c r="A66" s="17"/>
      <c r="B66" s="494"/>
      <c r="C66" s="507"/>
      <c r="D66" s="504"/>
      <c r="E66" s="494"/>
      <c r="F66" s="526"/>
      <c r="G66" s="526"/>
      <c r="I66" s="40"/>
      <c r="J66" s="488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</row>
  </sheetData>
  <mergeCells count="92">
    <mergeCell ref="C57:J57"/>
    <mergeCell ref="C58:F58"/>
    <mergeCell ref="A59:I59"/>
    <mergeCell ref="A60:I60"/>
    <mergeCell ref="A61:I61"/>
    <mergeCell ref="C51:F51"/>
    <mergeCell ref="C52:J52"/>
    <mergeCell ref="C53:J53"/>
    <mergeCell ref="C54:F54"/>
    <mergeCell ref="A55:A56"/>
    <mergeCell ref="B55:B56"/>
    <mergeCell ref="C55:F55"/>
    <mergeCell ref="G55:G56"/>
    <mergeCell ref="H55:H56"/>
    <mergeCell ref="C45:J45"/>
    <mergeCell ref="C46:F46"/>
    <mergeCell ref="C47:J47"/>
    <mergeCell ref="C48:F48"/>
    <mergeCell ref="A49:A50"/>
    <mergeCell ref="B49:B50"/>
    <mergeCell ref="C49:F49"/>
    <mergeCell ref="G49:G50"/>
    <mergeCell ref="H49:H50"/>
    <mergeCell ref="H43:H44"/>
    <mergeCell ref="H36:H37"/>
    <mergeCell ref="C38:F38"/>
    <mergeCell ref="C39:F39"/>
    <mergeCell ref="A40:A41"/>
    <mergeCell ref="B40:B41"/>
    <mergeCell ref="C40:F40"/>
    <mergeCell ref="G40:G41"/>
    <mergeCell ref="H40:H41"/>
    <mergeCell ref="G36:G37"/>
    <mergeCell ref="C42:F42"/>
    <mergeCell ref="A43:A44"/>
    <mergeCell ref="B43:B44"/>
    <mergeCell ref="C43:F43"/>
    <mergeCell ref="G43:G44"/>
    <mergeCell ref="C34:F34"/>
    <mergeCell ref="C35:F35"/>
    <mergeCell ref="A36:A37"/>
    <mergeCell ref="B36:B37"/>
    <mergeCell ref="C36:F36"/>
    <mergeCell ref="C29:J29"/>
    <mergeCell ref="C30:H30"/>
    <mergeCell ref="C31:F31"/>
    <mergeCell ref="A32:A33"/>
    <mergeCell ref="B32:B33"/>
    <mergeCell ref="C32:F32"/>
    <mergeCell ref="G32:G33"/>
    <mergeCell ref="H32:H33"/>
    <mergeCell ref="C28:F28"/>
    <mergeCell ref="A20:A21"/>
    <mergeCell ref="B20:B21"/>
    <mergeCell ref="C20:F20"/>
    <mergeCell ref="G20:G21"/>
    <mergeCell ref="C23:J23"/>
    <mergeCell ref="C24:F24"/>
    <mergeCell ref="C25:J25"/>
    <mergeCell ref="C26:F26"/>
    <mergeCell ref="C27:J27"/>
    <mergeCell ref="H20:H21"/>
    <mergeCell ref="C22:J22"/>
    <mergeCell ref="M14:P14"/>
    <mergeCell ref="C16:F16"/>
    <mergeCell ref="C17:J17"/>
    <mergeCell ref="C18:J18"/>
    <mergeCell ref="C19:F19"/>
    <mergeCell ref="C12:J12"/>
    <mergeCell ref="C13:F13"/>
    <mergeCell ref="A14:A15"/>
    <mergeCell ref="B14:B15"/>
    <mergeCell ref="C14:F14"/>
    <mergeCell ref="G14:G15"/>
    <mergeCell ref="H14:H15"/>
    <mergeCell ref="C8:J8"/>
    <mergeCell ref="C9:F9"/>
    <mergeCell ref="A10:A11"/>
    <mergeCell ref="B10:B11"/>
    <mergeCell ref="C10:F10"/>
    <mergeCell ref="G10:G11"/>
    <mergeCell ref="H10:H11"/>
    <mergeCell ref="A1:J1"/>
    <mergeCell ref="A2:J2"/>
    <mergeCell ref="C3:F3"/>
    <mergeCell ref="B4:J4"/>
    <mergeCell ref="C5:J5"/>
    <mergeCell ref="A6:A7"/>
    <mergeCell ref="B6:B7"/>
    <mergeCell ref="C6:F6"/>
    <mergeCell ref="G6:G7"/>
    <mergeCell ref="H6:H7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7"/>
  <sheetViews>
    <sheetView view="pageBreakPreview" zoomScaleNormal="100" zoomScaleSheetLayoutView="100" workbookViewId="0">
      <selection activeCell="A2" sqref="A2:J2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44" t="s">
        <v>1084</v>
      </c>
      <c r="B1" s="744"/>
      <c r="C1" s="744"/>
      <c r="D1" s="744"/>
      <c r="E1" s="744"/>
      <c r="F1" s="744"/>
      <c r="G1" s="744"/>
      <c r="H1" s="744"/>
      <c r="I1" s="744"/>
      <c r="J1" s="744"/>
    </row>
    <row r="2" spans="1:18" s="4" customFormat="1" ht="39" customHeight="1">
      <c r="A2" s="760" t="s">
        <v>1043</v>
      </c>
      <c r="B2" s="760"/>
      <c r="C2" s="760"/>
      <c r="D2" s="760"/>
      <c r="E2" s="760"/>
      <c r="F2" s="760"/>
      <c r="G2" s="760"/>
      <c r="H2" s="760"/>
      <c r="I2" s="760"/>
      <c r="J2" s="760"/>
    </row>
    <row r="3" spans="1:18" ht="45" customHeight="1">
      <c r="A3" s="74" t="s">
        <v>3</v>
      </c>
      <c r="B3" s="449" t="s">
        <v>199</v>
      </c>
      <c r="C3" s="755" t="s">
        <v>4</v>
      </c>
      <c r="D3" s="755"/>
      <c r="E3" s="755"/>
      <c r="F3" s="755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61" t="s">
        <v>1006</v>
      </c>
      <c r="C4" s="761"/>
      <c r="D4" s="761"/>
      <c r="E4" s="761"/>
      <c r="F4" s="761"/>
      <c r="G4" s="761"/>
      <c r="H4" s="761"/>
      <c r="I4" s="761"/>
      <c r="J4" s="761"/>
      <c r="M4" s="40" t="s">
        <v>1032</v>
      </c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  <c r="M5" s="1">
        <v>167</v>
      </c>
    </row>
    <row r="6" spans="1:18" ht="44.25" hidden="1" customHeight="1">
      <c r="A6" s="755"/>
      <c r="B6" s="756"/>
      <c r="C6" s="757" t="s">
        <v>733</v>
      </c>
      <c r="D6" s="757"/>
      <c r="E6" s="757"/>
      <c r="F6" s="757"/>
      <c r="G6" s="758" t="s">
        <v>177</v>
      </c>
      <c r="H6" s="759" t="s">
        <v>34</v>
      </c>
      <c r="I6" s="377"/>
      <c r="J6" s="521"/>
    </row>
    <row r="7" spans="1:18" ht="21.75" hidden="1" customHeight="1">
      <c r="A7" s="755"/>
      <c r="B7" s="756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58"/>
      <c r="H7" s="759"/>
      <c r="I7" s="377"/>
      <c r="J7" s="521"/>
    </row>
    <row r="8" spans="1:18" ht="18" customHeight="1">
      <c r="A8" s="64" t="s">
        <v>34</v>
      </c>
      <c r="B8" s="571" t="s">
        <v>14</v>
      </c>
      <c r="C8" s="736" t="s">
        <v>108</v>
      </c>
      <c r="D8" s="736"/>
      <c r="E8" s="736"/>
      <c r="F8" s="736"/>
      <c r="G8" s="736"/>
      <c r="H8" s="736"/>
      <c r="I8" s="736"/>
      <c r="J8" s="736"/>
    </row>
    <row r="9" spans="1:18" s="14" customFormat="1" ht="31.5" customHeight="1">
      <c r="A9" s="74">
        <v>1</v>
      </c>
      <c r="B9" s="449" t="s">
        <v>952</v>
      </c>
      <c r="C9" s="762" t="s">
        <v>1018</v>
      </c>
      <c r="D9" s="762"/>
      <c r="E9" s="762"/>
      <c r="F9" s="762"/>
      <c r="G9" s="74" t="s">
        <v>176</v>
      </c>
      <c r="H9" s="78">
        <f>M5*1</f>
        <v>167</v>
      </c>
      <c r="I9" s="78"/>
      <c r="J9" s="662"/>
    </row>
    <row r="10" spans="1:18" ht="54" hidden="1" customHeight="1">
      <c r="A10" s="755"/>
      <c r="B10" s="763"/>
      <c r="C10" s="764" t="s">
        <v>969</v>
      </c>
      <c r="D10" s="764"/>
      <c r="E10" s="764"/>
      <c r="F10" s="764"/>
      <c r="G10" s="758" t="s">
        <v>177</v>
      </c>
      <c r="H10" s="765" t="s">
        <v>34</v>
      </c>
      <c r="I10" s="377"/>
      <c r="J10" s="521"/>
    </row>
    <row r="11" spans="1:18" ht="21" hidden="1" customHeight="1">
      <c r="A11" s="755"/>
      <c r="B11" s="763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58"/>
      <c r="H11" s="765"/>
      <c r="I11" s="377"/>
      <c r="J11" s="521"/>
    </row>
    <row r="12" spans="1:18" ht="17.25" customHeight="1">
      <c r="A12" s="64" t="s">
        <v>34</v>
      </c>
      <c r="B12" s="571" t="s">
        <v>15</v>
      </c>
      <c r="C12" s="736" t="s">
        <v>10</v>
      </c>
      <c r="D12" s="736"/>
      <c r="E12" s="736"/>
      <c r="F12" s="736"/>
      <c r="G12" s="736"/>
      <c r="H12" s="736"/>
      <c r="I12" s="736"/>
      <c r="J12" s="736"/>
      <c r="R12" s="40">
        <v>13</v>
      </c>
    </row>
    <row r="13" spans="1:18" ht="50.25" customHeight="1">
      <c r="A13" s="74">
        <v>2</v>
      </c>
      <c r="B13" s="66" t="s">
        <v>109</v>
      </c>
      <c r="C13" s="762" t="s">
        <v>1020</v>
      </c>
      <c r="D13" s="762"/>
      <c r="E13" s="762"/>
      <c r="F13" s="762"/>
      <c r="G13" s="74" t="s">
        <v>176</v>
      </c>
      <c r="H13" s="78">
        <f>2.2*M5</f>
        <v>367.4</v>
      </c>
      <c r="I13" s="78"/>
      <c r="J13" s="662"/>
    </row>
    <row r="14" spans="1:18" ht="25.5" hidden="1" customHeight="1">
      <c r="A14" s="786"/>
      <c r="B14" s="787"/>
      <c r="C14" s="788" t="s">
        <v>974</v>
      </c>
      <c r="D14" s="788"/>
      <c r="E14" s="788"/>
      <c r="F14" s="788"/>
      <c r="G14" s="789" t="s">
        <v>920</v>
      </c>
      <c r="H14" s="790" t="s">
        <v>34</v>
      </c>
      <c r="I14" s="377"/>
      <c r="J14" s="521"/>
      <c r="M14" s="784"/>
      <c r="N14" s="784"/>
      <c r="O14" s="784"/>
      <c r="P14" s="784"/>
    </row>
    <row r="15" spans="1:18" ht="20.25" hidden="1" customHeight="1">
      <c r="A15" s="786"/>
      <c r="B15" s="787"/>
      <c r="C15" s="645" t="s">
        <v>713</v>
      </c>
      <c r="D15" s="652" t="e">
        <f>#REF!</f>
        <v>#REF!</v>
      </c>
      <c r="E15" s="290" t="s">
        <v>708</v>
      </c>
      <c r="F15" s="652" t="s">
        <v>718</v>
      </c>
      <c r="G15" s="789"/>
      <c r="H15" s="790"/>
      <c r="I15" s="377"/>
      <c r="J15" s="521"/>
    </row>
    <row r="16" spans="1:18" ht="36.75" customHeight="1">
      <c r="A16" s="74">
        <v>3</v>
      </c>
      <c r="B16" s="641" t="s">
        <v>31</v>
      </c>
      <c r="C16" s="785" t="s">
        <v>1019</v>
      </c>
      <c r="D16" s="785"/>
      <c r="E16" s="785"/>
      <c r="F16" s="785"/>
      <c r="G16" s="74" t="s">
        <v>176</v>
      </c>
      <c r="H16" s="78">
        <v>12</v>
      </c>
      <c r="I16" s="78"/>
      <c r="J16" s="662"/>
    </row>
    <row r="17" spans="1:106" ht="36.75" customHeight="1">
      <c r="A17" s="642">
        <v>4</v>
      </c>
      <c r="B17" s="641" t="s">
        <v>735</v>
      </c>
      <c r="C17" s="785" t="s">
        <v>1051</v>
      </c>
      <c r="D17" s="785"/>
      <c r="E17" s="785"/>
      <c r="F17" s="785"/>
      <c r="G17" s="74" t="s">
        <v>176</v>
      </c>
      <c r="H17" s="78">
        <v>48</v>
      </c>
      <c r="I17" s="78"/>
      <c r="J17" s="662"/>
    </row>
    <row r="18" spans="1:106" ht="32.25" customHeight="1">
      <c r="A18" s="21"/>
      <c r="B18" s="448" t="s">
        <v>111</v>
      </c>
      <c r="C18" s="737" t="s">
        <v>189</v>
      </c>
      <c r="D18" s="737"/>
      <c r="E18" s="737"/>
      <c r="F18" s="737"/>
      <c r="G18" s="737"/>
      <c r="H18" s="737"/>
      <c r="I18" s="737"/>
      <c r="J18" s="737"/>
    </row>
    <row r="19" spans="1:106" s="15" customFormat="1" ht="21" customHeight="1">
      <c r="A19" s="64" t="s">
        <v>34</v>
      </c>
      <c r="B19" s="571" t="s">
        <v>142</v>
      </c>
      <c r="C19" s="736" t="s">
        <v>147</v>
      </c>
      <c r="D19" s="736"/>
      <c r="E19" s="736"/>
      <c r="F19" s="736"/>
      <c r="G19" s="736"/>
      <c r="H19" s="736"/>
      <c r="I19" s="736"/>
      <c r="J19" s="73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37.5" customHeight="1">
      <c r="A20" s="74">
        <v>5</v>
      </c>
      <c r="B20" s="572" t="s">
        <v>143</v>
      </c>
      <c r="C20" s="768" t="s">
        <v>1046</v>
      </c>
      <c r="D20" s="768"/>
      <c r="E20" s="768"/>
      <c r="F20" s="768"/>
      <c r="G20" s="74" t="s">
        <v>179</v>
      </c>
      <c r="H20" s="78">
        <f>M5*0.7</f>
        <v>116.9</v>
      </c>
      <c r="I20" s="78"/>
      <c r="J20" s="662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15" customFormat="1" ht="54" hidden="1" customHeight="1">
      <c r="A21" s="755"/>
      <c r="B21" s="766"/>
      <c r="C21" s="764" t="s">
        <v>978</v>
      </c>
      <c r="D21" s="764"/>
      <c r="E21" s="764"/>
      <c r="F21" s="764"/>
      <c r="G21" s="758" t="s">
        <v>178</v>
      </c>
      <c r="H21" s="767" t="s">
        <v>34</v>
      </c>
      <c r="I21" s="632"/>
      <c r="J21" s="66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</row>
    <row r="22" spans="1:106" s="15" customFormat="1" ht="18" hidden="1" customHeight="1">
      <c r="A22" s="755"/>
      <c r="B22" s="766"/>
      <c r="C22" s="672" t="s">
        <v>714</v>
      </c>
      <c r="D22" s="67" t="e">
        <f>#REF!</f>
        <v>#REF!</v>
      </c>
      <c r="E22" s="109" t="str">
        <f>G21</f>
        <v>m3</v>
      </c>
      <c r="F22" s="67" t="s">
        <v>716</v>
      </c>
      <c r="G22" s="758"/>
      <c r="H22" s="767"/>
      <c r="I22" s="632"/>
      <c r="J22" s="666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</row>
    <row r="23" spans="1:106" s="3" customFormat="1" ht="31.5" customHeight="1">
      <c r="A23" s="21"/>
      <c r="B23" s="448" t="s">
        <v>57</v>
      </c>
      <c r="C23" s="737" t="s">
        <v>181</v>
      </c>
      <c r="D23" s="737"/>
      <c r="E23" s="737"/>
      <c r="F23" s="737"/>
      <c r="G23" s="737"/>
      <c r="H23" s="737"/>
      <c r="I23" s="737"/>
      <c r="J23" s="737"/>
    </row>
    <row r="24" spans="1:106" s="1" customFormat="1" ht="18" customHeight="1">
      <c r="A24" s="64" t="s">
        <v>34</v>
      </c>
      <c r="B24" s="571" t="s">
        <v>98</v>
      </c>
      <c r="C24" s="736" t="s">
        <v>99</v>
      </c>
      <c r="D24" s="736"/>
      <c r="E24" s="736"/>
      <c r="F24" s="736"/>
      <c r="G24" s="736"/>
      <c r="H24" s="736"/>
      <c r="I24" s="736"/>
      <c r="J24" s="736"/>
    </row>
    <row r="25" spans="1:106" s="1" customFormat="1" ht="33" customHeight="1">
      <c r="A25" s="86">
        <v>6</v>
      </c>
      <c r="B25" s="431" t="s">
        <v>970</v>
      </c>
      <c r="C25" s="778" t="s">
        <v>1011</v>
      </c>
      <c r="D25" s="778"/>
      <c r="E25" s="778"/>
      <c r="F25" s="778"/>
      <c r="G25" s="86" t="s">
        <v>176</v>
      </c>
      <c r="H25" s="87">
        <f>M5*3.2</f>
        <v>534.4</v>
      </c>
      <c r="I25" s="566"/>
      <c r="J25" s="662"/>
    </row>
    <row r="26" spans="1:106" s="1" customFormat="1" ht="33" customHeight="1">
      <c r="A26" s="64" t="s">
        <v>34</v>
      </c>
      <c r="B26" s="571" t="s">
        <v>114</v>
      </c>
      <c r="C26" s="736" t="s">
        <v>1024</v>
      </c>
      <c r="D26" s="736"/>
      <c r="E26" s="736"/>
      <c r="F26" s="736"/>
      <c r="G26" s="736"/>
      <c r="H26" s="736"/>
      <c r="I26" s="736"/>
      <c r="J26" s="736"/>
    </row>
    <row r="27" spans="1:106" s="1" customFormat="1" ht="33" customHeight="1">
      <c r="A27" s="86">
        <v>7</v>
      </c>
      <c r="B27" s="564" t="s">
        <v>162</v>
      </c>
      <c r="C27" s="778" t="s">
        <v>1023</v>
      </c>
      <c r="D27" s="778"/>
      <c r="E27" s="778"/>
      <c r="F27" s="778"/>
      <c r="G27" s="86" t="s">
        <v>176</v>
      </c>
      <c r="H27" s="87">
        <f>M5*3.2</f>
        <v>534.4</v>
      </c>
      <c r="I27" s="566"/>
      <c r="J27" s="662"/>
    </row>
    <row r="28" spans="1:106" s="8" customFormat="1" ht="18" customHeight="1">
      <c r="A28" s="64" t="s">
        <v>34</v>
      </c>
      <c r="B28" s="571" t="s">
        <v>972</v>
      </c>
      <c r="C28" s="736" t="s">
        <v>20</v>
      </c>
      <c r="D28" s="736"/>
      <c r="E28" s="736"/>
      <c r="F28" s="736"/>
      <c r="G28" s="736"/>
      <c r="H28" s="736"/>
      <c r="I28" s="736"/>
      <c r="J28" s="736"/>
    </row>
    <row r="29" spans="1:106" s="8" customFormat="1" ht="30" customHeight="1">
      <c r="A29" s="86">
        <v>8</v>
      </c>
      <c r="B29" s="623" t="s">
        <v>984</v>
      </c>
      <c r="C29" s="769" t="s">
        <v>485</v>
      </c>
      <c r="D29" s="769"/>
      <c r="E29" s="769"/>
      <c r="F29" s="769"/>
      <c r="G29" s="86" t="s">
        <v>176</v>
      </c>
      <c r="H29" s="87">
        <f>M5*3.2</f>
        <v>534.4</v>
      </c>
      <c r="I29" s="566"/>
      <c r="J29" s="662"/>
      <c r="L29" s="8" t="s">
        <v>1081</v>
      </c>
    </row>
    <row r="30" spans="1:106" s="8" customFormat="1" ht="33" customHeight="1">
      <c r="A30" s="524"/>
      <c r="B30" s="524" t="s">
        <v>59</v>
      </c>
      <c r="C30" s="770" t="s">
        <v>182</v>
      </c>
      <c r="D30" s="770"/>
      <c r="E30" s="770"/>
      <c r="F30" s="770"/>
      <c r="G30" s="770"/>
      <c r="H30" s="770"/>
      <c r="I30" s="770"/>
      <c r="J30" s="770"/>
    </row>
    <row r="31" spans="1:106" s="16" customFormat="1" ht="25.5" hidden="1" customHeight="1">
      <c r="A31" s="64" t="s">
        <v>34</v>
      </c>
      <c r="B31" s="276" t="s">
        <v>116</v>
      </c>
      <c r="C31" s="741" t="s">
        <v>776</v>
      </c>
      <c r="D31" s="741"/>
      <c r="E31" s="741"/>
      <c r="F31" s="741"/>
      <c r="G31" s="741" t="s">
        <v>8</v>
      </c>
      <c r="H31" s="741"/>
      <c r="I31" s="673"/>
      <c r="J31" s="669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</row>
    <row r="32" spans="1:106" s="204" customFormat="1" ht="29.25" hidden="1" customHeight="1">
      <c r="A32" s="86">
        <v>27</v>
      </c>
      <c r="B32" s="650" t="s">
        <v>116</v>
      </c>
      <c r="C32" s="771" t="s">
        <v>820</v>
      </c>
      <c r="D32" s="771"/>
      <c r="E32" s="771"/>
      <c r="F32" s="771"/>
      <c r="G32" s="289" t="s">
        <v>919</v>
      </c>
      <c r="H32" s="671" t="e">
        <f>SUM(#REF!)</f>
        <v>#REF!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9.25" hidden="1" customHeight="1">
      <c r="A33" s="772"/>
      <c r="B33" s="773"/>
      <c r="C33" s="774" t="s">
        <v>778</v>
      </c>
      <c r="D33" s="774"/>
      <c r="E33" s="774"/>
      <c r="F33" s="774"/>
      <c r="G33" s="775" t="s">
        <v>920</v>
      </c>
      <c r="H33" s="776" t="s">
        <v>34</v>
      </c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772"/>
      <c r="B34" s="773"/>
      <c r="C34" s="645" t="s">
        <v>713</v>
      </c>
      <c r="D34" s="652" t="e">
        <f>#REF!</f>
        <v>#REF!</v>
      </c>
      <c r="E34" s="290" t="str">
        <f>G33</f>
        <v>m2</v>
      </c>
      <c r="F34" s="652" t="s">
        <v>716</v>
      </c>
      <c r="G34" s="775"/>
      <c r="H34" s="776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20.25" hidden="1" customHeight="1">
      <c r="A35" s="276" t="s">
        <v>34</v>
      </c>
      <c r="B35" s="276" t="s">
        <v>845</v>
      </c>
      <c r="C35" s="741" t="s">
        <v>847</v>
      </c>
      <c r="D35" s="741" t="s">
        <v>8</v>
      </c>
      <c r="E35" s="741"/>
      <c r="F35" s="741"/>
      <c r="G35" s="655" t="s">
        <v>8</v>
      </c>
      <c r="H35" s="655"/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36" hidden="1" customHeight="1">
      <c r="A36" s="593">
        <v>44</v>
      </c>
      <c r="B36" s="656" t="s">
        <v>846</v>
      </c>
      <c r="C36" s="771" t="s">
        <v>915</v>
      </c>
      <c r="D36" s="771"/>
      <c r="E36" s="771"/>
      <c r="F36" s="771"/>
      <c r="G36" s="289" t="s">
        <v>919</v>
      </c>
      <c r="H36" s="671" t="e">
        <f>SUM(#REF!)</f>
        <v>#REF!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45.75" hidden="1" customHeight="1">
      <c r="A37" s="775"/>
      <c r="B37" s="773"/>
      <c r="C37" s="774" t="s">
        <v>940</v>
      </c>
      <c r="D37" s="774"/>
      <c r="E37" s="774"/>
      <c r="F37" s="774"/>
      <c r="G37" s="775" t="s">
        <v>920</v>
      </c>
      <c r="H37" s="776" t="s">
        <v>34</v>
      </c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24.75" hidden="1" customHeight="1">
      <c r="A38" s="775"/>
      <c r="B38" s="773"/>
      <c r="C38" s="645" t="s">
        <v>713</v>
      </c>
      <c r="D38" s="652" t="e">
        <f>#REF!</f>
        <v>#REF!</v>
      </c>
      <c r="E38" s="290" t="str">
        <f>G37</f>
        <v>m2</v>
      </c>
      <c r="F38" s="652" t="s">
        <v>811</v>
      </c>
      <c r="G38" s="775"/>
      <c r="H38" s="776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34.5" hidden="1" customHeight="1">
      <c r="A39" s="64" t="s">
        <v>34</v>
      </c>
      <c r="B39" s="276" t="s">
        <v>848</v>
      </c>
      <c r="C39" s="741" t="s">
        <v>849</v>
      </c>
      <c r="D39" s="741" t="s">
        <v>8</v>
      </c>
      <c r="E39" s="741"/>
      <c r="F39" s="741"/>
      <c r="G39" s="655" t="s">
        <v>8</v>
      </c>
      <c r="H39" s="655"/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20.25" hidden="1" customHeight="1">
      <c r="A40" s="458">
        <v>29</v>
      </c>
      <c r="B40" s="656" t="s">
        <v>846</v>
      </c>
      <c r="C40" s="771" t="s">
        <v>844</v>
      </c>
      <c r="D40" s="771"/>
      <c r="E40" s="771"/>
      <c r="F40" s="771"/>
      <c r="G40" s="289" t="s">
        <v>919</v>
      </c>
      <c r="H40" s="671" t="e">
        <f>SUM(#REF!)</f>
        <v>#REF!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47.25" hidden="1" customHeight="1">
      <c r="A41" s="772"/>
      <c r="B41" s="773"/>
      <c r="C41" s="774" t="s">
        <v>843</v>
      </c>
      <c r="D41" s="774"/>
      <c r="E41" s="774"/>
      <c r="F41" s="774"/>
      <c r="G41" s="775" t="s">
        <v>920</v>
      </c>
      <c r="H41" s="776" t="s">
        <v>34</v>
      </c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772"/>
      <c r="B42" s="773"/>
      <c r="C42" s="645" t="s">
        <v>713</v>
      </c>
      <c r="D42" s="652" t="e">
        <f>#REF!</f>
        <v>#REF!</v>
      </c>
      <c r="E42" s="290" t="str">
        <f>G41</f>
        <v>m2</v>
      </c>
      <c r="F42" s="652" t="s">
        <v>811</v>
      </c>
      <c r="G42" s="775"/>
      <c r="H42" s="776"/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20.25" hidden="1" customHeight="1">
      <c r="A43" s="458">
        <v>30</v>
      </c>
      <c r="B43" s="656" t="s">
        <v>851</v>
      </c>
      <c r="C43" s="771" t="s">
        <v>852</v>
      </c>
      <c r="D43" s="771"/>
      <c r="E43" s="771"/>
      <c r="F43" s="771"/>
      <c r="G43" s="289" t="s">
        <v>919</v>
      </c>
      <c r="H43" s="671" t="e">
        <f>SUM(#REF!)</f>
        <v>#REF!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45.75" hidden="1" customHeight="1">
      <c r="A44" s="772"/>
      <c r="B44" s="773"/>
      <c r="C44" s="774" t="s">
        <v>853</v>
      </c>
      <c r="D44" s="774"/>
      <c r="E44" s="774"/>
      <c r="F44" s="774"/>
      <c r="G44" s="775" t="s">
        <v>920</v>
      </c>
      <c r="H44" s="776" t="s">
        <v>34</v>
      </c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hidden="1" customHeight="1">
      <c r="A45" s="772"/>
      <c r="B45" s="773"/>
      <c r="C45" s="645" t="s">
        <v>713</v>
      </c>
      <c r="D45" s="652" t="e">
        <f>#REF!</f>
        <v>#REF!</v>
      </c>
      <c r="E45" s="290" t="str">
        <f>G44</f>
        <v>m2</v>
      </c>
      <c r="F45" s="652" t="s">
        <v>811</v>
      </c>
      <c r="G45" s="775"/>
      <c r="H45" s="776"/>
      <c r="I45" s="674"/>
      <c r="J45" s="665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20.25" customHeight="1">
      <c r="A46" s="571"/>
      <c r="B46" s="64" t="s">
        <v>116</v>
      </c>
      <c r="C46" s="736" t="s">
        <v>776</v>
      </c>
      <c r="D46" s="736"/>
      <c r="E46" s="736"/>
      <c r="F46" s="736"/>
      <c r="G46" s="736"/>
      <c r="H46" s="736"/>
      <c r="I46" s="736"/>
      <c r="J46" s="736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36.75" customHeight="1">
      <c r="A47" s="679" t="s">
        <v>1029</v>
      </c>
      <c r="B47" s="564" t="s">
        <v>213</v>
      </c>
      <c r="C47" s="769" t="s">
        <v>1021</v>
      </c>
      <c r="D47" s="769"/>
      <c r="E47" s="769"/>
      <c r="F47" s="769"/>
      <c r="G47" s="458" t="s">
        <v>176</v>
      </c>
      <c r="H47" s="566">
        <v>22</v>
      </c>
      <c r="I47" s="389"/>
      <c r="J47" s="662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</row>
    <row r="48" spans="1:68" s="204" customFormat="1" ht="22.5" customHeight="1">
      <c r="A48" s="64" t="s">
        <v>34</v>
      </c>
      <c r="B48" s="64" t="s">
        <v>21</v>
      </c>
      <c r="C48" s="736" t="s">
        <v>1078</v>
      </c>
      <c r="D48" s="736"/>
      <c r="E48" s="736"/>
      <c r="F48" s="736"/>
      <c r="G48" s="736"/>
      <c r="H48" s="736"/>
      <c r="I48" s="736"/>
      <c r="J48" s="736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0.75" hidden="1" customHeight="1">
      <c r="A49" s="289">
        <v>45</v>
      </c>
      <c r="B49" s="656" t="s">
        <v>816</v>
      </c>
      <c r="C49" s="771" t="s">
        <v>935</v>
      </c>
      <c r="D49" s="771"/>
      <c r="E49" s="771"/>
      <c r="F49" s="771"/>
      <c r="G49" s="289" t="s">
        <v>924</v>
      </c>
      <c r="H49" s="671" t="e">
        <f>SUM(#REF!)</f>
        <v>#REF!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6.75" hidden="1" customHeight="1">
      <c r="A50" s="775"/>
      <c r="B50" s="777"/>
      <c r="C50" s="774" t="s">
        <v>936</v>
      </c>
      <c r="D50" s="774"/>
      <c r="E50" s="774"/>
      <c r="F50" s="774"/>
      <c r="G50" s="775" t="s">
        <v>924</v>
      </c>
      <c r="H50" s="776" t="s">
        <v>34</v>
      </c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30" hidden="1" customHeight="1">
      <c r="A51" s="775"/>
      <c r="B51" s="777"/>
      <c r="C51" s="645" t="s">
        <v>713</v>
      </c>
      <c r="D51" s="652" t="e">
        <f>#REF!</f>
        <v>#REF!</v>
      </c>
      <c r="E51" s="290" t="s">
        <v>924</v>
      </c>
      <c r="F51" s="652" t="s">
        <v>716</v>
      </c>
      <c r="G51" s="775"/>
      <c r="H51" s="776"/>
      <c r="I51" s="674"/>
      <c r="J51" s="665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204" customFormat="1" ht="43.5" customHeight="1">
      <c r="A52" s="86">
        <v>10</v>
      </c>
      <c r="B52" s="564" t="s">
        <v>1008</v>
      </c>
      <c r="C52" s="778" t="s">
        <v>1079</v>
      </c>
      <c r="D52" s="778"/>
      <c r="E52" s="778"/>
      <c r="F52" s="778"/>
      <c r="G52" s="86" t="s">
        <v>176</v>
      </c>
      <c r="H52" s="77">
        <f>M5*3*1.05</f>
        <v>526.04999999999995</v>
      </c>
      <c r="I52" s="77"/>
      <c r="J52" s="662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</row>
    <row r="53" spans="1:68" s="41" customFormat="1" ht="35.25" customHeight="1">
      <c r="A53" s="21"/>
      <c r="B53" s="448" t="s">
        <v>60</v>
      </c>
      <c r="C53" s="737" t="s">
        <v>183</v>
      </c>
      <c r="D53" s="737"/>
      <c r="E53" s="737"/>
      <c r="F53" s="737"/>
      <c r="G53" s="737"/>
      <c r="H53" s="737"/>
      <c r="I53" s="737"/>
      <c r="J53" s="737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</row>
    <row r="54" spans="1:68" s="8" customFormat="1" ht="19.5" customHeight="1">
      <c r="A54" s="64" t="s">
        <v>34</v>
      </c>
      <c r="B54" s="571" t="s">
        <v>23</v>
      </c>
      <c r="C54" s="736" t="s">
        <v>167</v>
      </c>
      <c r="D54" s="736"/>
      <c r="E54" s="736"/>
      <c r="F54" s="736"/>
      <c r="G54" s="736" t="s">
        <v>8</v>
      </c>
      <c r="H54" s="736"/>
      <c r="I54" s="736"/>
      <c r="J54" s="736"/>
    </row>
    <row r="55" spans="1:68" s="11" customFormat="1" ht="28.5" customHeight="1">
      <c r="A55" s="86">
        <v>11</v>
      </c>
      <c r="B55" s="432" t="s">
        <v>0</v>
      </c>
      <c r="C55" s="778" t="s">
        <v>74</v>
      </c>
      <c r="D55" s="778"/>
      <c r="E55" s="778"/>
      <c r="F55" s="778"/>
      <c r="G55" s="86" t="s">
        <v>176</v>
      </c>
      <c r="H55" s="87">
        <f>H9/2</f>
        <v>83.5</v>
      </c>
      <c r="I55" s="566"/>
      <c r="J55" s="662"/>
    </row>
    <row r="56" spans="1:68" s="8" customFormat="1" ht="38.25" hidden="1" customHeight="1">
      <c r="A56" s="779"/>
      <c r="B56" s="780"/>
      <c r="C56" s="781" t="s">
        <v>983</v>
      </c>
      <c r="D56" s="781"/>
      <c r="E56" s="781"/>
      <c r="F56" s="781"/>
      <c r="G56" s="772" t="s">
        <v>177</v>
      </c>
      <c r="H56" s="782" t="s">
        <v>34</v>
      </c>
      <c r="I56" s="106"/>
      <c r="J56" s="662" t="e">
        <f t="shared" ref="J56:J57" si="0">H56*I56</f>
        <v>#VALUE!</v>
      </c>
    </row>
    <row r="57" spans="1:68" s="8" customFormat="1" ht="16.5" hidden="1" customHeight="1">
      <c r="A57" s="779"/>
      <c r="B57" s="780"/>
      <c r="C57" s="672" t="s">
        <v>713</v>
      </c>
      <c r="D57" s="67" t="e">
        <f>#REF!</f>
        <v>#REF!</v>
      </c>
      <c r="E57" s="109" t="str">
        <f>G56</f>
        <v>m2</v>
      </c>
      <c r="F57" s="67" t="s">
        <v>715</v>
      </c>
      <c r="G57" s="772"/>
      <c r="H57" s="782"/>
      <c r="I57" s="106"/>
      <c r="J57" s="662">
        <f t="shared" si="0"/>
        <v>0</v>
      </c>
    </row>
    <row r="58" spans="1:68" s="8" customFormat="1" ht="19.5" customHeight="1">
      <c r="A58" s="64" t="s">
        <v>34</v>
      </c>
      <c r="B58" s="450" t="s">
        <v>976</v>
      </c>
      <c r="C58" s="736" t="s">
        <v>975</v>
      </c>
      <c r="D58" s="736"/>
      <c r="E58" s="736"/>
      <c r="F58" s="736"/>
      <c r="G58" s="736" t="s">
        <v>8</v>
      </c>
      <c r="H58" s="736"/>
      <c r="I58" s="736"/>
      <c r="J58" s="736"/>
    </row>
    <row r="59" spans="1:68" s="11" customFormat="1" ht="29.25" customHeight="1">
      <c r="A59" s="86">
        <v>12</v>
      </c>
      <c r="B59" s="432" t="s">
        <v>977</v>
      </c>
      <c r="C59" s="778" t="s">
        <v>1017</v>
      </c>
      <c r="D59" s="778"/>
      <c r="E59" s="778"/>
      <c r="F59" s="778"/>
      <c r="G59" s="86" t="s">
        <v>176</v>
      </c>
      <c r="H59" s="87">
        <f>M5*2*0.5</f>
        <v>167</v>
      </c>
      <c r="I59" s="77"/>
      <c r="J59" s="662"/>
    </row>
    <row r="60" spans="1:68" ht="21" customHeight="1">
      <c r="A60" s="783" t="s">
        <v>1014</v>
      </c>
      <c r="B60" s="783"/>
      <c r="C60" s="783"/>
      <c r="D60" s="783"/>
      <c r="E60" s="783"/>
      <c r="F60" s="783"/>
      <c r="G60" s="783"/>
      <c r="H60" s="783"/>
      <c r="I60" s="783"/>
      <c r="J60" s="668"/>
    </row>
    <row r="61" spans="1:68" ht="21" customHeight="1">
      <c r="A61" s="783" t="s">
        <v>76</v>
      </c>
      <c r="B61" s="783"/>
      <c r="C61" s="783"/>
      <c r="D61" s="783"/>
      <c r="E61" s="783"/>
      <c r="F61" s="783"/>
      <c r="G61" s="783"/>
      <c r="H61" s="783"/>
      <c r="I61" s="783"/>
      <c r="J61" s="592"/>
    </row>
    <row r="62" spans="1:68" ht="21" customHeight="1">
      <c r="A62" s="783" t="s">
        <v>90</v>
      </c>
      <c r="B62" s="783"/>
      <c r="C62" s="783"/>
      <c r="D62" s="783"/>
      <c r="E62" s="783"/>
      <c r="F62" s="783"/>
      <c r="G62" s="783"/>
      <c r="H62" s="783"/>
      <c r="I62" s="783"/>
      <c r="J62" s="592"/>
    </row>
    <row r="63" spans="1:68" ht="21" customHeight="1">
      <c r="A63" s="553"/>
      <c r="B63" s="553"/>
      <c r="C63" s="554"/>
      <c r="D63" s="556"/>
      <c r="E63" s="555"/>
      <c r="F63" s="555"/>
      <c r="G63" s="500"/>
      <c r="H63" s="547"/>
    </row>
    <row r="64" spans="1:68" ht="12.75" customHeight="1">
      <c r="B64" s="494"/>
      <c r="C64" s="507"/>
      <c r="D64" s="504"/>
      <c r="E64" s="494"/>
      <c r="F64" s="526"/>
      <c r="G64" s="526"/>
    </row>
    <row r="65" spans="1:106" ht="12.75" customHeight="1">
      <c r="B65" s="494"/>
      <c r="C65" s="507"/>
      <c r="D65" s="504"/>
      <c r="E65" s="494"/>
      <c r="F65" s="526"/>
      <c r="G65" s="526"/>
    </row>
    <row r="66" spans="1:106" s="18" customFormat="1" ht="12.75" customHeight="1">
      <c r="A66" s="17"/>
      <c r="B66" s="494"/>
      <c r="C66" s="507"/>
      <c r="D66" s="504"/>
      <c r="E66" s="494"/>
      <c r="F66" s="526"/>
      <c r="G66" s="526"/>
      <c r="I66" s="40"/>
      <c r="J66" s="488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</row>
    <row r="67" spans="1:106" s="18" customFormat="1" ht="12.75" customHeight="1">
      <c r="A67" s="17"/>
      <c r="B67" s="494"/>
      <c r="C67" s="507"/>
      <c r="D67" s="504"/>
      <c r="E67" s="494"/>
      <c r="F67" s="526"/>
      <c r="G67" s="526"/>
      <c r="I67" s="40"/>
      <c r="J67" s="488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</row>
  </sheetData>
  <mergeCells count="93">
    <mergeCell ref="A62:I62"/>
    <mergeCell ref="C23:J23"/>
    <mergeCell ref="C58:J58"/>
    <mergeCell ref="C59:F59"/>
    <mergeCell ref="A60:I60"/>
    <mergeCell ref="A61:I61"/>
    <mergeCell ref="C43:F43"/>
    <mergeCell ref="H37:H38"/>
    <mergeCell ref="C39:F39"/>
    <mergeCell ref="C40:F40"/>
    <mergeCell ref="C35:F35"/>
    <mergeCell ref="C36:F36"/>
    <mergeCell ref="C52:F52"/>
    <mergeCell ref="C53:J53"/>
    <mergeCell ref="C54:J54"/>
    <mergeCell ref="C55:F55"/>
    <mergeCell ref="C46:J46"/>
    <mergeCell ref="C47:F47"/>
    <mergeCell ref="C48:J48"/>
    <mergeCell ref="C49:F49"/>
    <mergeCell ref="A56:A57"/>
    <mergeCell ref="B56:B57"/>
    <mergeCell ref="C56:F56"/>
    <mergeCell ref="G56:G57"/>
    <mergeCell ref="H56:H57"/>
    <mergeCell ref="A50:A51"/>
    <mergeCell ref="B50:B51"/>
    <mergeCell ref="C50:F50"/>
    <mergeCell ref="G50:G51"/>
    <mergeCell ref="H50:H51"/>
    <mergeCell ref="A44:A45"/>
    <mergeCell ref="B44:B45"/>
    <mergeCell ref="C44:F44"/>
    <mergeCell ref="G44:G45"/>
    <mergeCell ref="H44:H45"/>
    <mergeCell ref="A41:A42"/>
    <mergeCell ref="B41:B42"/>
    <mergeCell ref="C41:F41"/>
    <mergeCell ref="G41:G42"/>
    <mergeCell ref="H41:H42"/>
    <mergeCell ref="A37:A38"/>
    <mergeCell ref="B37:B38"/>
    <mergeCell ref="C37:F37"/>
    <mergeCell ref="G37:G38"/>
    <mergeCell ref="C29:F29"/>
    <mergeCell ref="C30:J30"/>
    <mergeCell ref="C31:H31"/>
    <mergeCell ref="C32:F32"/>
    <mergeCell ref="A33:A34"/>
    <mergeCell ref="B33:B34"/>
    <mergeCell ref="C33:F33"/>
    <mergeCell ref="G33:G34"/>
    <mergeCell ref="H33:H34"/>
    <mergeCell ref="C24:J24"/>
    <mergeCell ref="C25:F25"/>
    <mergeCell ref="C26:J26"/>
    <mergeCell ref="C27:F27"/>
    <mergeCell ref="C28:J28"/>
    <mergeCell ref="M14:P14"/>
    <mergeCell ref="C16:F16"/>
    <mergeCell ref="C18:J18"/>
    <mergeCell ref="C19:J19"/>
    <mergeCell ref="C20:F20"/>
    <mergeCell ref="C17:F17"/>
    <mergeCell ref="A21:A22"/>
    <mergeCell ref="B21:B22"/>
    <mergeCell ref="C21:F21"/>
    <mergeCell ref="G21:G22"/>
    <mergeCell ref="H21:H22"/>
    <mergeCell ref="C12:J12"/>
    <mergeCell ref="C13:F13"/>
    <mergeCell ref="A14:A15"/>
    <mergeCell ref="B14:B15"/>
    <mergeCell ref="C14:F14"/>
    <mergeCell ref="G14:G15"/>
    <mergeCell ref="H14:H15"/>
    <mergeCell ref="C8:J8"/>
    <mergeCell ref="C9:F9"/>
    <mergeCell ref="A10:A11"/>
    <mergeCell ref="B10:B11"/>
    <mergeCell ref="C10:F10"/>
    <mergeCell ref="G10:G11"/>
    <mergeCell ref="H10:H11"/>
    <mergeCell ref="A1:J1"/>
    <mergeCell ref="A2:J2"/>
    <mergeCell ref="C3:F3"/>
    <mergeCell ref="B4:J4"/>
    <mergeCell ref="C5:J5"/>
    <mergeCell ref="A6:A7"/>
    <mergeCell ref="B6:B7"/>
    <mergeCell ref="C6:F6"/>
    <mergeCell ref="G6:G7"/>
    <mergeCell ref="H6:H7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6"/>
  <sheetViews>
    <sheetView view="pageBreakPreview" zoomScaleNormal="100" zoomScaleSheetLayoutView="100" workbookViewId="0">
      <selection activeCell="A2" sqref="A2:J2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44" t="s">
        <v>1084</v>
      </c>
      <c r="B1" s="744"/>
      <c r="C1" s="744"/>
      <c r="D1" s="744"/>
      <c r="E1" s="744"/>
      <c r="F1" s="744"/>
      <c r="G1" s="744"/>
      <c r="H1" s="744"/>
      <c r="I1" s="744"/>
      <c r="J1" s="744"/>
    </row>
    <row r="2" spans="1:18" s="4" customFormat="1" ht="39" customHeight="1">
      <c r="A2" s="760" t="s">
        <v>1075</v>
      </c>
      <c r="B2" s="760"/>
      <c r="C2" s="760"/>
      <c r="D2" s="760"/>
      <c r="E2" s="760"/>
      <c r="F2" s="760"/>
      <c r="G2" s="760"/>
      <c r="H2" s="760"/>
      <c r="I2" s="760"/>
      <c r="J2" s="760"/>
    </row>
    <row r="3" spans="1:18" ht="45" customHeight="1">
      <c r="A3" s="74" t="s">
        <v>3</v>
      </c>
      <c r="B3" s="449" t="s">
        <v>199</v>
      </c>
      <c r="C3" s="755" t="s">
        <v>4</v>
      </c>
      <c r="D3" s="755"/>
      <c r="E3" s="755"/>
      <c r="F3" s="755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61" t="s">
        <v>1006</v>
      </c>
      <c r="C4" s="761"/>
      <c r="D4" s="761"/>
      <c r="E4" s="761"/>
      <c r="F4" s="761"/>
      <c r="G4" s="761"/>
      <c r="H4" s="761"/>
      <c r="I4" s="761"/>
      <c r="J4" s="761"/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</row>
    <row r="6" spans="1:18" ht="44.25" hidden="1" customHeight="1">
      <c r="A6" s="755"/>
      <c r="B6" s="756"/>
      <c r="C6" s="757" t="s">
        <v>733</v>
      </c>
      <c r="D6" s="757"/>
      <c r="E6" s="757"/>
      <c r="F6" s="757"/>
      <c r="G6" s="758" t="s">
        <v>177</v>
      </c>
      <c r="H6" s="759" t="s">
        <v>34</v>
      </c>
      <c r="I6" s="377"/>
      <c r="J6" s="521"/>
    </row>
    <row r="7" spans="1:18" ht="21.75" hidden="1" customHeight="1">
      <c r="A7" s="755"/>
      <c r="B7" s="756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58"/>
      <c r="H7" s="759"/>
      <c r="I7" s="377"/>
      <c r="J7" s="521"/>
    </row>
    <row r="8" spans="1:18" ht="18" customHeight="1">
      <c r="A8" s="64" t="s">
        <v>34</v>
      </c>
      <c r="B8" s="571" t="s">
        <v>14</v>
      </c>
      <c r="C8" s="736" t="s">
        <v>108</v>
      </c>
      <c r="D8" s="736"/>
      <c r="E8" s="736"/>
      <c r="F8" s="736"/>
      <c r="G8" s="736"/>
      <c r="H8" s="736"/>
      <c r="I8" s="736"/>
      <c r="J8" s="736"/>
    </row>
    <row r="9" spans="1:18" s="14" customFormat="1" ht="31.5" customHeight="1">
      <c r="A9" s="74">
        <v>1</v>
      </c>
      <c r="B9" s="449" t="s">
        <v>952</v>
      </c>
      <c r="C9" s="762" t="s">
        <v>1018</v>
      </c>
      <c r="D9" s="762"/>
      <c r="E9" s="762"/>
      <c r="F9" s="762"/>
      <c r="G9" s="74" t="s">
        <v>176</v>
      </c>
      <c r="H9" s="78">
        <f>55*1</f>
        <v>55</v>
      </c>
      <c r="I9" s="78"/>
      <c r="J9" s="662"/>
    </row>
    <row r="10" spans="1:18" ht="54" hidden="1" customHeight="1">
      <c r="A10" s="755"/>
      <c r="B10" s="763"/>
      <c r="C10" s="764" t="s">
        <v>969</v>
      </c>
      <c r="D10" s="764"/>
      <c r="E10" s="764"/>
      <c r="F10" s="764"/>
      <c r="G10" s="758" t="s">
        <v>177</v>
      </c>
      <c r="H10" s="765" t="s">
        <v>34</v>
      </c>
      <c r="I10" s="377"/>
      <c r="J10" s="521"/>
    </row>
    <row r="11" spans="1:18" ht="21" hidden="1" customHeight="1">
      <c r="A11" s="755"/>
      <c r="B11" s="763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58"/>
      <c r="H11" s="765"/>
      <c r="I11" s="377"/>
      <c r="J11" s="521"/>
    </row>
    <row r="12" spans="1:18" ht="17.25" customHeight="1">
      <c r="A12" s="64" t="s">
        <v>34</v>
      </c>
      <c r="B12" s="571" t="s">
        <v>15</v>
      </c>
      <c r="C12" s="736" t="s">
        <v>10</v>
      </c>
      <c r="D12" s="736"/>
      <c r="E12" s="736"/>
      <c r="F12" s="736"/>
      <c r="G12" s="736"/>
      <c r="H12" s="736"/>
      <c r="I12" s="736"/>
      <c r="J12" s="736"/>
      <c r="R12" s="40">
        <v>13</v>
      </c>
    </row>
    <row r="13" spans="1:18" ht="50.25" customHeight="1">
      <c r="A13" s="74">
        <v>2</v>
      </c>
      <c r="B13" s="66" t="s">
        <v>109</v>
      </c>
      <c r="C13" s="762" t="s">
        <v>1020</v>
      </c>
      <c r="D13" s="762"/>
      <c r="E13" s="762"/>
      <c r="F13" s="762"/>
      <c r="G13" s="74" t="s">
        <v>176</v>
      </c>
      <c r="H13" s="78">
        <f>2.3*55</f>
        <v>126.5</v>
      </c>
      <c r="I13" s="78"/>
      <c r="J13" s="662"/>
    </row>
    <row r="14" spans="1:18" ht="25.5" hidden="1" customHeight="1">
      <c r="A14" s="786"/>
      <c r="B14" s="787"/>
      <c r="C14" s="788" t="s">
        <v>974</v>
      </c>
      <c r="D14" s="788"/>
      <c r="E14" s="788"/>
      <c r="F14" s="788"/>
      <c r="G14" s="789" t="s">
        <v>920</v>
      </c>
      <c r="H14" s="790" t="s">
        <v>34</v>
      </c>
      <c r="I14" s="377"/>
      <c r="J14" s="521"/>
      <c r="M14" s="784"/>
      <c r="N14" s="784"/>
      <c r="O14" s="784"/>
      <c r="P14" s="784"/>
    </row>
    <row r="15" spans="1:18" ht="20.25" hidden="1" customHeight="1">
      <c r="A15" s="786"/>
      <c r="B15" s="787"/>
      <c r="C15" s="645" t="s">
        <v>713</v>
      </c>
      <c r="D15" s="652" t="e">
        <f>#REF!</f>
        <v>#REF!</v>
      </c>
      <c r="E15" s="290" t="s">
        <v>708</v>
      </c>
      <c r="F15" s="652" t="s">
        <v>718</v>
      </c>
      <c r="G15" s="789"/>
      <c r="H15" s="790"/>
      <c r="I15" s="377"/>
      <c r="J15" s="521"/>
    </row>
    <row r="16" spans="1:18" ht="36.75" customHeight="1">
      <c r="A16" s="74">
        <v>3</v>
      </c>
      <c r="B16" s="641" t="s">
        <v>31</v>
      </c>
      <c r="C16" s="785" t="s">
        <v>1019</v>
      </c>
      <c r="D16" s="785"/>
      <c r="E16" s="785"/>
      <c r="F16" s="785"/>
      <c r="G16" s="74" t="s">
        <v>176</v>
      </c>
      <c r="H16" s="78">
        <v>13</v>
      </c>
      <c r="I16" s="78"/>
      <c r="J16" s="662"/>
    </row>
    <row r="17" spans="1:106" ht="32.25" customHeight="1">
      <c r="A17" s="21"/>
      <c r="B17" s="448" t="s">
        <v>111</v>
      </c>
      <c r="C17" s="737" t="s">
        <v>189</v>
      </c>
      <c r="D17" s="737"/>
      <c r="E17" s="737"/>
      <c r="F17" s="737"/>
      <c r="G17" s="737"/>
      <c r="H17" s="737"/>
      <c r="I17" s="737"/>
      <c r="J17" s="737"/>
    </row>
    <row r="18" spans="1:106" s="684" customFormat="1" ht="21" customHeight="1">
      <c r="A18" s="64" t="s">
        <v>34</v>
      </c>
      <c r="B18" s="571" t="s">
        <v>142</v>
      </c>
      <c r="C18" s="736" t="s">
        <v>147</v>
      </c>
      <c r="D18" s="736"/>
      <c r="E18" s="736"/>
      <c r="F18" s="736"/>
      <c r="G18" s="736"/>
      <c r="H18" s="736"/>
      <c r="I18" s="736"/>
      <c r="J18" s="736"/>
      <c r="K18" s="683"/>
      <c r="L18" s="683"/>
      <c r="M18" s="683"/>
      <c r="N18" s="683"/>
      <c r="O18" s="683"/>
      <c r="P18" s="683"/>
      <c r="Q18" s="683"/>
      <c r="R18" s="683"/>
      <c r="S18" s="683"/>
      <c r="T18" s="683"/>
      <c r="U18" s="683"/>
      <c r="V18" s="683"/>
      <c r="W18" s="683"/>
      <c r="X18" s="683"/>
      <c r="Y18" s="683"/>
      <c r="Z18" s="683"/>
      <c r="AA18" s="683"/>
      <c r="AB18" s="683"/>
      <c r="AC18" s="683"/>
      <c r="AD18" s="683"/>
      <c r="AE18" s="683"/>
      <c r="AF18" s="683"/>
      <c r="AG18" s="683"/>
      <c r="AH18" s="683"/>
      <c r="AI18" s="683"/>
      <c r="AJ18" s="683"/>
      <c r="AK18" s="683"/>
      <c r="AL18" s="683"/>
      <c r="AM18" s="683"/>
      <c r="AN18" s="683"/>
      <c r="AO18" s="683"/>
      <c r="AP18" s="683"/>
      <c r="AQ18" s="683"/>
      <c r="AR18" s="683"/>
      <c r="AS18" s="683"/>
      <c r="AT18" s="683"/>
      <c r="AU18" s="683"/>
      <c r="AV18" s="683"/>
      <c r="AW18" s="683"/>
      <c r="AX18" s="683"/>
      <c r="AY18" s="683"/>
      <c r="AZ18" s="683"/>
      <c r="BA18" s="683"/>
      <c r="BB18" s="683"/>
      <c r="BC18" s="683"/>
      <c r="BD18" s="683"/>
      <c r="BE18" s="683"/>
      <c r="BF18" s="683"/>
      <c r="BG18" s="683"/>
      <c r="BH18" s="683"/>
      <c r="BI18" s="683"/>
      <c r="BJ18" s="683"/>
      <c r="BK18" s="683"/>
      <c r="BL18" s="683"/>
      <c r="BM18" s="683"/>
      <c r="BN18" s="683"/>
      <c r="BO18" s="683"/>
      <c r="BP18" s="683"/>
      <c r="BQ18" s="683"/>
      <c r="BR18" s="683"/>
      <c r="BS18" s="683"/>
      <c r="BT18" s="683"/>
      <c r="BU18" s="683"/>
      <c r="BV18" s="683"/>
      <c r="BW18" s="683"/>
      <c r="BX18" s="683"/>
      <c r="BY18" s="683"/>
      <c r="BZ18" s="683"/>
      <c r="CA18" s="683"/>
      <c r="CB18" s="683"/>
      <c r="CC18" s="683"/>
      <c r="CD18" s="683"/>
      <c r="CE18" s="683"/>
      <c r="CF18" s="683"/>
      <c r="CG18" s="683"/>
      <c r="CH18" s="683"/>
      <c r="CI18" s="683"/>
      <c r="CJ18" s="683"/>
      <c r="CK18" s="683"/>
      <c r="CL18" s="683"/>
      <c r="CM18" s="683"/>
      <c r="CN18" s="683"/>
      <c r="CO18" s="683"/>
      <c r="CP18" s="683"/>
      <c r="CQ18" s="683"/>
      <c r="CR18" s="683"/>
      <c r="CS18" s="683"/>
      <c r="CT18" s="683"/>
      <c r="CU18" s="683"/>
      <c r="CV18" s="683"/>
      <c r="CW18" s="683"/>
      <c r="CX18" s="683"/>
      <c r="CY18" s="683"/>
      <c r="CZ18" s="683"/>
      <c r="DA18" s="683"/>
      <c r="DB18" s="683"/>
    </row>
    <row r="19" spans="1:106" s="684" customFormat="1" ht="37.5" customHeight="1">
      <c r="A19" s="74">
        <v>4</v>
      </c>
      <c r="B19" s="572" t="s">
        <v>143</v>
      </c>
      <c r="C19" s="768" t="s">
        <v>1046</v>
      </c>
      <c r="D19" s="768"/>
      <c r="E19" s="768"/>
      <c r="F19" s="768"/>
      <c r="G19" s="74" t="s">
        <v>179</v>
      </c>
      <c r="H19" s="78">
        <f>55*0.5</f>
        <v>27.5</v>
      </c>
      <c r="I19" s="78"/>
      <c r="J19" s="662"/>
      <c r="K19" s="683"/>
      <c r="L19" s="683"/>
      <c r="M19" s="683"/>
      <c r="N19" s="683"/>
      <c r="O19" s="683"/>
      <c r="P19" s="683"/>
      <c r="Q19" s="683"/>
      <c r="R19" s="683"/>
      <c r="S19" s="683"/>
      <c r="T19" s="683"/>
      <c r="U19" s="683"/>
      <c r="V19" s="683"/>
      <c r="W19" s="683"/>
      <c r="X19" s="683"/>
      <c r="Y19" s="683"/>
      <c r="Z19" s="683"/>
      <c r="AA19" s="683"/>
      <c r="AB19" s="683"/>
      <c r="AC19" s="683"/>
      <c r="AD19" s="683"/>
      <c r="AE19" s="683"/>
      <c r="AF19" s="683"/>
      <c r="AG19" s="683"/>
      <c r="AH19" s="683"/>
      <c r="AI19" s="683"/>
      <c r="AJ19" s="683"/>
      <c r="AK19" s="683"/>
      <c r="AL19" s="683"/>
      <c r="AM19" s="683"/>
      <c r="AN19" s="683"/>
      <c r="AO19" s="683"/>
      <c r="AP19" s="683"/>
      <c r="AQ19" s="683"/>
      <c r="AR19" s="683"/>
      <c r="AS19" s="683"/>
      <c r="AT19" s="683"/>
      <c r="AU19" s="683"/>
      <c r="AV19" s="683"/>
      <c r="AW19" s="683"/>
      <c r="AX19" s="683"/>
      <c r="AY19" s="683"/>
      <c r="AZ19" s="683"/>
      <c r="BA19" s="683"/>
      <c r="BB19" s="683"/>
      <c r="BC19" s="683"/>
      <c r="BD19" s="683"/>
      <c r="BE19" s="683"/>
      <c r="BF19" s="683"/>
      <c r="BG19" s="683"/>
      <c r="BH19" s="683"/>
      <c r="BI19" s="683"/>
      <c r="BJ19" s="683"/>
      <c r="BK19" s="683"/>
      <c r="BL19" s="683"/>
      <c r="BM19" s="683"/>
      <c r="BN19" s="683"/>
      <c r="BO19" s="683"/>
      <c r="BP19" s="683"/>
      <c r="BQ19" s="683"/>
      <c r="BR19" s="683"/>
      <c r="BS19" s="683"/>
      <c r="BT19" s="683"/>
      <c r="BU19" s="683"/>
      <c r="BV19" s="683"/>
      <c r="BW19" s="683"/>
      <c r="BX19" s="683"/>
      <c r="BY19" s="683"/>
      <c r="BZ19" s="683"/>
      <c r="CA19" s="683"/>
      <c r="CB19" s="683"/>
      <c r="CC19" s="683"/>
      <c r="CD19" s="683"/>
      <c r="CE19" s="683"/>
      <c r="CF19" s="683"/>
      <c r="CG19" s="683"/>
      <c r="CH19" s="683"/>
      <c r="CI19" s="683"/>
      <c r="CJ19" s="683"/>
      <c r="CK19" s="683"/>
      <c r="CL19" s="683"/>
      <c r="CM19" s="683"/>
      <c r="CN19" s="683"/>
      <c r="CO19" s="683"/>
      <c r="CP19" s="683"/>
      <c r="CQ19" s="683"/>
      <c r="CR19" s="683"/>
      <c r="CS19" s="683"/>
      <c r="CT19" s="683"/>
      <c r="CU19" s="683"/>
      <c r="CV19" s="683"/>
      <c r="CW19" s="683"/>
      <c r="CX19" s="683"/>
      <c r="CY19" s="683"/>
      <c r="CZ19" s="683"/>
      <c r="DA19" s="683"/>
      <c r="DB19" s="683"/>
    </row>
    <row r="20" spans="1:106" s="684" customFormat="1" ht="54" hidden="1" customHeight="1">
      <c r="A20" s="755"/>
      <c r="B20" s="766"/>
      <c r="C20" s="764" t="s">
        <v>978</v>
      </c>
      <c r="D20" s="764"/>
      <c r="E20" s="764"/>
      <c r="F20" s="764"/>
      <c r="G20" s="758" t="s">
        <v>178</v>
      </c>
      <c r="H20" s="767" t="s">
        <v>34</v>
      </c>
      <c r="I20" s="685"/>
      <c r="J20" s="666"/>
      <c r="K20" s="683"/>
      <c r="L20" s="683"/>
      <c r="M20" s="683"/>
      <c r="N20" s="683"/>
      <c r="O20" s="683"/>
      <c r="P20" s="683"/>
      <c r="Q20" s="683"/>
      <c r="R20" s="683"/>
      <c r="S20" s="683"/>
      <c r="T20" s="683"/>
      <c r="U20" s="683"/>
      <c r="V20" s="683"/>
      <c r="W20" s="683"/>
      <c r="X20" s="683"/>
      <c r="Y20" s="683"/>
      <c r="Z20" s="683"/>
      <c r="AA20" s="683"/>
      <c r="AB20" s="683"/>
      <c r="AC20" s="683"/>
      <c r="AD20" s="683"/>
      <c r="AE20" s="683"/>
      <c r="AF20" s="683"/>
      <c r="AG20" s="683"/>
      <c r="AH20" s="683"/>
      <c r="AI20" s="683"/>
      <c r="AJ20" s="683"/>
      <c r="AK20" s="683"/>
      <c r="AL20" s="683"/>
      <c r="AM20" s="683"/>
      <c r="AN20" s="683"/>
      <c r="AO20" s="683"/>
      <c r="AP20" s="683"/>
      <c r="AQ20" s="683"/>
      <c r="AR20" s="683"/>
      <c r="AS20" s="683"/>
      <c r="AT20" s="683"/>
      <c r="AU20" s="683"/>
      <c r="AV20" s="683"/>
      <c r="AW20" s="683"/>
      <c r="AX20" s="683"/>
      <c r="AY20" s="683"/>
      <c r="AZ20" s="683"/>
      <c r="BA20" s="683"/>
      <c r="BB20" s="683"/>
      <c r="BC20" s="683"/>
      <c r="BD20" s="683"/>
      <c r="BE20" s="683"/>
      <c r="BF20" s="683"/>
      <c r="BG20" s="683"/>
      <c r="BH20" s="683"/>
      <c r="BI20" s="683"/>
      <c r="BJ20" s="683"/>
      <c r="BK20" s="683"/>
      <c r="BL20" s="683"/>
      <c r="BM20" s="683"/>
      <c r="BN20" s="683"/>
      <c r="BO20" s="683"/>
      <c r="BP20" s="683"/>
      <c r="BQ20" s="683"/>
      <c r="BR20" s="683"/>
      <c r="BS20" s="683"/>
      <c r="BT20" s="683"/>
      <c r="BU20" s="683"/>
      <c r="BV20" s="683"/>
      <c r="BW20" s="683"/>
      <c r="BX20" s="683"/>
      <c r="BY20" s="683"/>
      <c r="BZ20" s="683"/>
      <c r="CA20" s="683"/>
      <c r="CB20" s="683"/>
      <c r="CC20" s="683"/>
      <c r="CD20" s="683"/>
      <c r="CE20" s="683"/>
      <c r="CF20" s="683"/>
      <c r="CG20" s="683"/>
      <c r="CH20" s="683"/>
      <c r="CI20" s="683"/>
      <c r="CJ20" s="683"/>
      <c r="CK20" s="683"/>
      <c r="CL20" s="683"/>
      <c r="CM20" s="683"/>
      <c r="CN20" s="683"/>
      <c r="CO20" s="683"/>
      <c r="CP20" s="683"/>
      <c r="CQ20" s="683"/>
      <c r="CR20" s="683"/>
      <c r="CS20" s="683"/>
      <c r="CT20" s="683"/>
      <c r="CU20" s="683"/>
      <c r="CV20" s="683"/>
      <c r="CW20" s="683"/>
      <c r="CX20" s="683"/>
      <c r="CY20" s="683"/>
      <c r="CZ20" s="683"/>
      <c r="DA20" s="683"/>
      <c r="DB20" s="683"/>
    </row>
    <row r="21" spans="1:106" s="684" customFormat="1" ht="18" hidden="1" customHeight="1">
      <c r="A21" s="755"/>
      <c r="B21" s="766"/>
      <c r="C21" s="672" t="s">
        <v>714</v>
      </c>
      <c r="D21" s="67" t="e">
        <f>#REF!</f>
        <v>#REF!</v>
      </c>
      <c r="E21" s="109" t="str">
        <f>G20</f>
        <v>m3</v>
      </c>
      <c r="F21" s="67" t="s">
        <v>716</v>
      </c>
      <c r="G21" s="758"/>
      <c r="H21" s="767"/>
      <c r="I21" s="685"/>
      <c r="J21" s="666"/>
      <c r="K21" s="683"/>
      <c r="L21" s="683"/>
      <c r="M21" s="683"/>
      <c r="N21" s="683"/>
      <c r="O21" s="683"/>
      <c r="P21" s="683"/>
      <c r="Q21" s="683"/>
      <c r="R21" s="683"/>
      <c r="S21" s="683"/>
      <c r="T21" s="683"/>
      <c r="U21" s="683"/>
      <c r="V21" s="683"/>
      <c r="W21" s="683"/>
      <c r="X21" s="683"/>
      <c r="Y21" s="683"/>
      <c r="Z21" s="683"/>
      <c r="AA21" s="683"/>
      <c r="AB21" s="683"/>
      <c r="AC21" s="683"/>
      <c r="AD21" s="683"/>
      <c r="AE21" s="683"/>
      <c r="AF21" s="683"/>
      <c r="AG21" s="683"/>
      <c r="AH21" s="683"/>
      <c r="AI21" s="683"/>
      <c r="AJ21" s="683"/>
      <c r="AK21" s="683"/>
      <c r="AL21" s="683"/>
      <c r="AM21" s="683"/>
      <c r="AN21" s="683"/>
      <c r="AO21" s="683"/>
      <c r="AP21" s="683"/>
      <c r="AQ21" s="683"/>
      <c r="AR21" s="683"/>
      <c r="AS21" s="683"/>
      <c r="AT21" s="683"/>
      <c r="AU21" s="683"/>
      <c r="AV21" s="683"/>
      <c r="AW21" s="683"/>
      <c r="AX21" s="683"/>
      <c r="AY21" s="683"/>
      <c r="AZ21" s="683"/>
      <c r="BA21" s="683"/>
      <c r="BB21" s="683"/>
      <c r="BC21" s="683"/>
      <c r="BD21" s="683"/>
      <c r="BE21" s="683"/>
      <c r="BF21" s="683"/>
      <c r="BG21" s="683"/>
      <c r="BH21" s="683"/>
      <c r="BI21" s="683"/>
      <c r="BJ21" s="683"/>
      <c r="BK21" s="683"/>
      <c r="BL21" s="683"/>
      <c r="BM21" s="683"/>
      <c r="BN21" s="683"/>
      <c r="BO21" s="683"/>
      <c r="BP21" s="683"/>
      <c r="BQ21" s="683"/>
      <c r="BR21" s="683"/>
      <c r="BS21" s="683"/>
      <c r="BT21" s="683"/>
      <c r="BU21" s="683"/>
      <c r="BV21" s="683"/>
      <c r="BW21" s="683"/>
      <c r="BX21" s="683"/>
      <c r="BY21" s="683"/>
      <c r="BZ21" s="683"/>
      <c r="CA21" s="683"/>
      <c r="CB21" s="683"/>
      <c r="CC21" s="683"/>
      <c r="CD21" s="683"/>
      <c r="CE21" s="683"/>
      <c r="CF21" s="683"/>
      <c r="CG21" s="683"/>
      <c r="CH21" s="683"/>
      <c r="CI21" s="683"/>
      <c r="CJ21" s="683"/>
      <c r="CK21" s="683"/>
      <c r="CL21" s="683"/>
      <c r="CM21" s="683"/>
      <c r="CN21" s="683"/>
      <c r="CO21" s="683"/>
      <c r="CP21" s="683"/>
      <c r="CQ21" s="683"/>
      <c r="CR21" s="683"/>
      <c r="CS21" s="683"/>
      <c r="CT21" s="683"/>
      <c r="CU21" s="683"/>
      <c r="CV21" s="683"/>
      <c r="CW21" s="683"/>
      <c r="CX21" s="683"/>
      <c r="CY21" s="683"/>
      <c r="CZ21" s="683"/>
      <c r="DA21" s="683"/>
      <c r="DB21" s="683"/>
    </row>
    <row r="22" spans="1:106" s="3" customFormat="1" ht="31.5" customHeight="1">
      <c r="A22" s="21"/>
      <c r="B22" s="448" t="s">
        <v>57</v>
      </c>
      <c r="C22" s="737" t="s">
        <v>181</v>
      </c>
      <c r="D22" s="737"/>
      <c r="E22" s="737"/>
      <c r="F22" s="737"/>
      <c r="G22" s="737"/>
      <c r="H22" s="737"/>
      <c r="I22" s="737"/>
      <c r="J22" s="737"/>
    </row>
    <row r="23" spans="1:106" s="1" customFormat="1" ht="18" customHeight="1">
      <c r="A23" s="64" t="s">
        <v>34</v>
      </c>
      <c r="B23" s="571" t="s">
        <v>98</v>
      </c>
      <c r="C23" s="736" t="s">
        <v>99</v>
      </c>
      <c r="D23" s="736"/>
      <c r="E23" s="736"/>
      <c r="F23" s="736"/>
      <c r="G23" s="736"/>
      <c r="H23" s="736"/>
      <c r="I23" s="736"/>
      <c r="J23" s="736"/>
    </row>
    <row r="24" spans="1:106" s="1" customFormat="1" ht="33" customHeight="1">
      <c r="A24" s="458">
        <v>5</v>
      </c>
      <c r="B24" s="679" t="s">
        <v>970</v>
      </c>
      <c r="C24" s="806" t="s">
        <v>1011</v>
      </c>
      <c r="D24" s="806"/>
      <c r="E24" s="806"/>
      <c r="F24" s="806"/>
      <c r="G24" s="458" t="s">
        <v>176</v>
      </c>
      <c r="H24" s="566">
        <f>55*3.2</f>
        <v>176</v>
      </c>
      <c r="I24" s="566"/>
      <c r="J24" s="662"/>
    </row>
    <row r="25" spans="1:106" s="1" customFormat="1" ht="33" customHeight="1">
      <c r="A25" s="64" t="s">
        <v>34</v>
      </c>
      <c r="B25" s="571" t="s">
        <v>114</v>
      </c>
      <c r="C25" s="736" t="s">
        <v>1024</v>
      </c>
      <c r="D25" s="736"/>
      <c r="E25" s="736"/>
      <c r="F25" s="736"/>
      <c r="G25" s="736"/>
      <c r="H25" s="736"/>
      <c r="I25" s="736"/>
      <c r="J25" s="736"/>
    </row>
    <row r="26" spans="1:106" s="1" customFormat="1" ht="33" customHeight="1">
      <c r="A26" s="458">
        <v>6</v>
      </c>
      <c r="B26" s="564" t="s">
        <v>162</v>
      </c>
      <c r="C26" s="806" t="s">
        <v>1023</v>
      </c>
      <c r="D26" s="806"/>
      <c r="E26" s="806"/>
      <c r="F26" s="806"/>
      <c r="G26" s="458" t="s">
        <v>176</v>
      </c>
      <c r="H26" s="566">
        <f>55*3.2</f>
        <v>176</v>
      </c>
      <c r="I26" s="566"/>
      <c r="J26" s="662"/>
    </row>
    <row r="27" spans="1:106" s="686" customFormat="1" ht="18" customHeight="1">
      <c r="A27" s="64" t="s">
        <v>34</v>
      </c>
      <c r="B27" s="571" t="s">
        <v>972</v>
      </c>
      <c r="C27" s="736" t="s">
        <v>20</v>
      </c>
      <c r="D27" s="736"/>
      <c r="E27" s="736"/>
      <c r="F27" s="736"/>
      <c r="G27" s="736"/>
      <c r="H27" s="736"/>
      <c r="I27" s="736"/>
      <c r="J27" s="736"/>
    </row>
    <row r="28" spans="1:106" s="686" customFormat="1" ht="30" customHeight="1">
      <c r="A28" s="458">
        <v>7</v>
      </c>
      <c r="B28" s="687" t="s">
        <v>984</v>
      </c>
      <c r="C28" s="769" t="s">
        <v>485</v>
      </c>
      <c r="D28" s="769"/>
      <c r="E28" s="769"/>
      <c r="F28" s="769"/>
      <c r="G28" s="458" t="s">
        <v>176</v>
      </c>
      <c r="H28" s="566">
        <f>55*3.2</f>
        <v>176</v>
      </c>
      <c r="I28" s="566"/>
      <c r="J28" s="662"/>
    </row>
    <row r="29" spans="1:106" s="686" customFormat="1" ht="33" customHeight="1">
      <c r="A29" s="688"/>
      <c r="B29" s="688" t="s">
        <v>59</v>
      </c>
      <c r="C29" s="823" t="s">
        <v>182</v>
      </c>
      <c r="D29" s="823"/>
      <c r="E29" s="823"/>
      <c r="F29" s="823"/>
      <c r="G29" s="823"/>
      <c r="H29" s="823"/>
      <c r="I29" s="823"/>
      <c r="J29" s="823"/>
      <c r="L29" s="686" t="s">
        <v>1081</v>
      </c>
    </row>
    <row r="30" spans="1:106" s="16" customFormat="1" ht="25.5" hidden="1" customHeight="1">
      <c r="A30" s="64" t="s">
        <v>34</v>
      </c>
      <c r="B30" s="276" t="s">
        <v>116</v>
      </c>
      <c r="C30" s="741" t="s">
        <v>776</v>
      </c>
      <c r="D30" s="741"/>
      <c r="E30" s="741"/>
      <c r="F30" s="741"/>
      <c r="G30" s="741" t="s">
        <v>8</v>
      </c>
      <c r="H30" s="741"/>
      <c r="I30" s="673"/>
      <c r="J30" s="66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</row>
    <row r="31" spans="1:106" s="204" customFormat="1" ht="29.25" hidden="1" customHeight="1">
      <c r="A31" s="458">
        <v>27</v>
      </c>
      <c r="B31" s="689" t="s">
        <v>116</v>
      </c>
      <c r="C31" s="820" t="s">
        <v>820</v>
      </c>
      <c r="D31" s="820"/>
      <c r="E31" s="820"/>
      <c r="F31" s="820"/>
      <c r="G31" s="593" t="s">
        <v>919</v>
      </c>
      <c r="H31" s="671" t="e">
        <f>SUM(#REF!)</f>
        <v>#REF!</v>
      </c>
      <c r="I31" s="674"/>
      <c r="J31" s="66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</row>
    <row r="32" spans="1:106" s="204" customFormat="1" ht="29.25" hidden="1" customHeight="1">
      <c r="A32" s="824"/>
      <c r="B32" s="825"/>
      <c r="C32" s="812" t="s">
        <v>778</v>
      </c>
      <c r="D32" s="812"/>
      <c r="E32" s="812"/>
      <c r="F32" s="812"/>
      <c r="G32" s="826" t="s">
        <v>920</v>
      </c>
      <c r="H32" s="827" t="s">
        <v>34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0.25" hidden="1" customHeight="1">
      <c r="A33" s="824"/>
      <c r="B33" s="825"/>
      <c r="C33" s="645" t="s">
        <v>713</v>
      </c>
      <c r="D33" s="652" t="e">
        <f>#REF!</f>
        <v>#REF!</v>
      </c>
      <c r="E33" s="290" t="str">
        <f>G32</f>
        <v>m2</v>
      </c>
      <c r="F33" s="652" t="s">
        <v>716</v>
      </c>
      <c r="G33" s="826"/>
      <c r="H33" s="827"/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276" t="s">
        <v>34</v>
      </c>
      <c r="B34" s="276" t="s">
        <v>845</v>
      </c>
      <c r="C34" s="741" t="s">
        <v>847</v>
      </c>
      <c r="D34" s="741" t="s">
        <v>8</v>
      </c>
      <c r="E34" s="741"/>
      <c r="F34" s="741"/>
      <c r="G34" s="655" t="s">
        <v>8</v>
      </c>
      <c r="H34" s="655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36" hidden="1" customHeight="1">
      <c r="A35" s="593">
        <v>44</v>
      </c>
      <c r="B35" s="656" t="s">
        <v>846</v>
      </c>
      <c r="C35" s="820" t="s">
        <v>915</v>
      </c>
      <c r="D35" s="820"/>
      <c r="E35" s="820"/>
      <c r="F35" s="820"/>
      <c r="G35" s="593" t="s">
        <v>919</v>
      </c>
      <c r="H35" s="671" t="e">
        <f>SUM(#REF!)</f>
        <v>#REF!</v>
      </c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45.75" hidden="1" customHeight="1">
      <c r="A36" s="826"/>
      <c r="B36" s="825"/>
      <c r="C36" s="812" t="s">
        <v>940</v>
      </c>
      <c r="D36" s="812"/>
      <c r="E36" s="812"/>
      <c r="F36" s="812"/>
      <c r="G36" s="826" t="s">
        <v>920</v>
      </c>
      <c r="H36" s="827" t="s">
        <v>34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24.75" hidden="1" customHeight="1">
      <c r="A37" s="826"/>
      <c r="B37" s="825"/>
      <c r="C37" s="645" t="s">
        <v>713</v>
      </c>
      <c r="D37" s="652" t="e">
        <f>#REF!</f>
        <v>#REF!</v>
      </c>
      <c r="E37" s="290" t="str">
        <f>G36</f>
        <v>m2</v>
      </c>
      <c r="F37" s="652" t="s">
        <v>811</v>
      </c>
      <c r="G37" s="826"/>
      <c r="H37" s="827"/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34.5" hidden="1" customHeight="1">
      <c r="A38" s="64" t="s">
        <v>34</v>
      </c>
      <c r="B38" s="276" t="s">
        <v>848</v>
      </c>
      <c r="C38" s="741" t="s">
        <v>849</v>
      </c>
      <c r="D38" s="741" t="s">
        <v>8</v>
      </c>
      <c r="E38" s="741"/>
      <c r="F38" s="741"/>
      <c r="G38" s="655" t="s">
        <v>8</v>
      </c>
      <c r="H38" s="655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20.25" hidden="1" customHeight="1">
      <c r="A39" s="458">
        <v>29</v>
      </c>
      <c r="B39" s="656" t="s">
        <v>846</v>
      </c>
      <c r="C39" s="820" t="s">
        <v>844</v>
      </c>
      <c r="D39" s="820"/>
      <c r="E39" s="820"/>
      <c r="F39" s="820"/>
      <c r="G39" s="593" t="s">
        <v>919</v>
      </c>
      <c r="H39" s="671" t="e">
        <f>SUM(#REF!)</f>
        <v>#REF!</v>
      </c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47.25" hidden="1" customHeight="1">
      <c r="A40" s="824"/>
      <c r="B40" s="825"/>
      <c r="C40" s="812" t="s">
        <v>843</v>
      </c>
      <c r="D40" s="812"/>
      <c r="E40" s="812"/>
      <c r="F40" s="812"/>
      <c r="G40" s="826" t="s">
        <v>920</v>
      </c>
      <c r="H40" s="827" t="s">
        <v>34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20.25" hidden="1" customHeight="1">
      <c r="A41" s="824"/>
      <c r="B41" s="825"/>
      <c r="C41" s="645" t="s">
        <v>713</v>
      </c>
      <c r="D41" s="652" t="e">
        <f>#REF!</f>
        <v>#REF!</v>
      </c>
      <c r="E41" s="290" t="str">
        <f>G40</f>
        <v>m2</v>
      </c>
      <c r="F41" s="652" t="s">
        <v>811</v>
      </c>
      <c r="G41" s="826"/>
      <c r="H41" s="827"/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458">
        <v>30</v>
      </c>
      <c r="B42" s="656" t="s">
        <v>851</v>
      </c>
      <c r="C42" s="820" t="s">
        <v>852</v>
      </c>
      <c r="D42" s="820"/>
      <c r="E42" s="820"/>
      <c r="F42" s="820"/>
      <c r="G42" s="593" t="s">
        <v>919</v>
      </c>
      <c r="H42" s="671" t="e">
        <f>SUM(#REF!)</f>
        <v>#REF!</v>
      </c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45.75" hidden="1" customHeight="1">
      <c r="A43" s="824"/>
      <c r="B43" s="825"/>
      <c r="C43" s="812" t="s">
        <v>853</v>
      </c>
      <c r="D43" s="812"/>
      <c r="E43" s="812"/>
      <c r="F43" s="812"/>
      <c r="G43" s="826" t="s">
        <v>920</v>
      </c>
      <c r="H43" s="827" t="s">
        <v>34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20.25" hidden="1" customHeight="1">
      <c r="A44" s="824"/>
      <c r="B44" s="825"/>
      <c r="C44" s="645" t="s">
        <v>713</v>
      </c>
      <c r="D44" s="652" t="e">
        <f>#REF!</f>
        <v>#REF!</v>
      </c>
      <c r="E44" s="290" t="str">
        <f>G43</f>
        <v>m2</v>
      </c>
      <c r="F44" s="652" t="s">
        <v>811</v>
      </c>
      <c r="G44" s="826"/>
      <c r="H44" s="827"/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customHeight="1">
      <c r="A45" s="571"/>
      <c r="B45" s="64" t="s">
        <v>116</v>
      </c>
      <c r="C45" s="736" t="s">
        <v>776</v>
      </c>
      <c r="D45" s="736"/>
      <c r="E45" s="736"/>
      <c r="F45" s="736"/>
      <c r="G45" s="736"/>
      <c r="H45" s="736"/>
      <c r="I45" s="736"/>
      <c r="J45" s="736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36.75" customHeight="1">
      <c r="A46" s="679" t="s">
        <v>1022</v>
      </c>
      <c r="B46" s="564" t="s">
        <v>213</v>
      </c>
      <c r="C46" s="769" t="s">
        <v>1021</v>
      </c>
      <c r="D46" s="769"/>
      <c r="E46" s="769"/>
      <c r="F46" s="769"/>
      <c r="G46" s="458" t="s">
        <v>176</v>
      </c>
      <c r="H46" s="566">
        <v>12</v>
      </c>
      <c r="I46" s="389"/>
      <c r="J46" s="662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22.5" customHeight="1">
      <c r="A47" s="64" t="s">
        <v>34</v>
      </c>
      <c r="B47" s="64" t="s">
        <v>21</v>
      </c>
      <c r="C47" s="736" t="s">
        <v>1078</v>
      </c>
      <c r="D47" s="736"/>
      <c r="E47" s="736"/>
      <c r="F47" s="736"/>
      <c r="G47" s="736"/>
      <c r="H47" s="736"/>
      <c r="I47" s="736"/>
      <c r="J47" s="736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8" s="204" customFormat="1" ht="30.75" hidden="1" customHeight="1">
      <c r="A48" s="593">
        <v>45</v>
      </c>
      <c r="B48" s="656" t="s">
        <v>816</v>
      </c>
      <c r="C48" s="820" t="s">
        <v>935</v>
      </c>
      <c r="D48" s="820"/>
      <c r="E48" s="820"/>
      <c r="F48" s="820"/>
      <c r="G48" s="593" t="s">
        <v>924</v>
      </c>
      <c r="H48" s="671" t="e">
        <f>SUM(#REF!)</f>
        <v>#REF!</v>
      </c>
      <c r="I48" s="674"/>
      <c r="J48" s="665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6.75" hidden="1" customHeight="1">
      <c r="A49" s="826"/>
      <c r="B49" s="828"/>
      <c r="C49" s="812" t="s">
        <v>936</v>
      </c>
      <c r="D49" s="812"/>
      <c r="E49" s="812"/>
      <c r="F49" s="812"/>
      <c r="G49" s="826" t="s">
        <v>924</v>
      </c>
      <c r="H49" s="827" t="s">
        <v>34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0" hidden="1" customHeight="1">
      <c r="A50" s="826"/>
      <c r="B50" s="828"/>
      <c r="C50" s="645" t="s">
        <v>713</v>
      </c>
      <c r="D50" s="652" t="e">
        <f>#REF!</f>
        <v>#REF!</v>
      </c>
      <c r="E50" s="290" t="s">
        <v>924</v>
      </c>
      <c r="F50" s="652" t="s">
        <v>716</v>
      </c>
      <c r="G50" s="826"/>
      <c r="H50" s="827"/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43.5" customHeight="1">
      <c r="A51" s="458">
        <v>9</v>
      </c>
      <c r="B51" s="564" t="s">
        <v>1008</v>
      </c>
      <c r="C51" s="806" t="s">
        <v>1079</v>
      </c>
      <c r="D51" s="806"/>
      <c r="E51" s="806"/>
      <c r="F51" s="806"/>
      <c r="G51" s="458" t="s">
        <v>176</v>
      </c>
      <c r="H51" s="77">
        <f>55*3*1.05</f>
        <v>173.25</v>
      </c>
      <c r="I51" s="77"/>
      <c r="J51" s="662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41" customFormat="1" ht="35.25" customHeight="1">
      <c r="A52" s="21"/>
      <c r="B52" s="448" t="s">
        <v>60</v>
      </c>
      <c r="C52" s="737" t="s">
        <v>183</v>
      </c>
      <c r="D52" s="737"/>
      <c r="E52" s="737"/>
      <c r="F52" s="737"/>
      <c r="G52" s="737"/>
      <c r="H52" s="737"/>
      <c r="I52" s="737"/>
      <c r="J52" s="73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</row>
    <row r="53" spans="1:68" s="686" customFormat="1" ht="19.5" customHeight="1">
      <c r="A53" s="64" t="s">
        <v>34</v>
      </c>
      <c r="B53" s="571" t="s">
        <v>23</v>
      </c>
      <c r="C53" s="736" t="s">
        <v>167</v>
      </c>
      <c r="D53" s="736"/>
      <c r="E53" s="736"/>
      <c r="F53" s="736"/>
      <c r="G53" s="736" t="s">
        <v>8</v>
      </c>
      <c r="H53" s="736"/>
      <c r="I53" s="736"/>
      <c r="J53" s="736"/>
    </row>
    <row r="54" spans="1:68" s="691" customFormat="1" ht="28.5" customHeight="1">
      <c r="A54" s="458">
        <v>10</v>
      </c>
      <c r="B54" s="690" t="s">
        <v>0</v>
      </c>
      <c r="C54" s="806" t="s">
        <v>74</v>
      </c>
      <c r="D54" s="806"/>
      <c r="E54" s="806"/>
      <c r="F54" s="806"/>
      <c r="G54" s="458" t="s">
        <v>176</v>
      </c>
      <c r="H54" s="566">
        <f>H9/2</f>
        <v>27.5</v>
      </c>
      <c r="I54" s="566"/>
      <c r="J54" s="662"/>
    </row>
    <row r="55" spans="1:68" s="686" customFormat="1" ht="38.25" hidden="1" customHeight="1">
      <c r="A55" s="829"/>
      <c r="B55" s="830"/>
      <c r="C55" s="818" t="s">
        <v>983</v>
      </c>
      <c r="D55" s="818"/>
      <c r="E55" s="818"/>
      <c r="F55" s="818"/>
      <c r="G55" s="824" t="s">
        <v>177</v>
      </c>
      <c r="H55" s="822" t="s">
        <v>34</v>
      </c>
      <c r="I55" s="692"/>
      <c r="J55" s="662" t="e">
        <f t="shared" ref="J55:J56" si="0">H55*I55</f>
        <v>#VALUE!</v>
      </c>
    </row>
    <row r="56" spans="1:68" s="686" customFormat="1" ht="16.5" hidden="1" customHeight="1">
      <c r="A56" s="829"/>
      <c r="B56" s="830"/>
      <c r="C56" s="672" t="s">
        <v>713</v>
      </c>
      <c r="D56" s="67" t="e">
        <f>#REF!</f>
        <v>#REF!</v>
      </c>
      <c r="E56" s="109" t="str">
        <f>G55</f>
        <v>m2</v>
      </c>
      <c r="F56" s="67" t="s">
        <v>715</v>
      </c>
      <c r="G56" s="824"/>
      <c r="H56" s="822"/>
      <c r="I56" s="692"/>
      <c r="J56" s="662">
        <f t="shared" si="0"/>
        <v>0</v>
      </c>
    </row>
    <row r="57" spans="1:68" s="686" customFormat="1" ht="19.5" customHeight="1">
      <c r="A57" s="64" t="s">
        <v>34</v>
      </c>
      <c r="B57" s="450" t="s">
        <v>976</v>
      </c>
      <c r="C57" s="736" t="s">
        <v>975</v>
      </c>
      <c r="D57" s="736"/>
      <c r="E57" s="736"/>
      <c r="F57" s="736"/>
      <c r="G57" s="736" t="s">
        <v>8</v>
      </c>
      <c r="H57" s="736"/>
      <c r="I57" s="736"/>
      <c r="J57" s="736"/>
    </row>
    <row r="58" spans="1:68" s="691" customFormat="1" ht="29.25" customHeight="1">
      <c r="A58" s="458">
        <v>11</v>
      </c>
      <c r="B58" s="690" t="s">
        <v>977</v>
      </c>
      <c r="C58" s="806" t="s">
        <v>1017</v>
      </c>
      <c r="D58" s="806"/>
      <c r="E58" s="806"/>
      <c r="F58" s="806"/>
      <c r="G58" s="458" t="s">
        <v>176</v>
      </c>
      <c r="H58" s="566">
        <f>55*2*0.5</f>
        <v>55</v>
      </c>
      <c r="I58" s="77"/>
      <c r="J58" s="662"/>
    </row>
    <row r="59" spans="1:68" ht="21" customHeight="1">
      <c r="A59" s="783" t="s">
        <v>1014</v>
      </c>
      <c r="B59" s="783"/>
      <c r="C59" s="783"/>
      <c r="D59" s="783"/>
      <c r="E59" s="783"/>
      <c r="F59" s="783"/>
      <c r="G59" s="783"/>
      <c r="H59" s="783"/>
      <c r="I59" s="783"/>
      <c r="J59" s="592"/>
    </row>
    <row r="60" spans="1:68" ht="21" customHeight="1">
      <c r="A60" s="783" t="s">
        <v>76</v>
      </c>
      <c r="B60" s="783"/>
      <c r="C60" s="783"/>
      <c r="D60" s="783"/>
      <c r="E60" s="783"/>
      <c r="F60" s="783"/>
      <c r="G60" s="783"/>
      <c r="H60" s="783"/>
      <c r="I60" s="783"/>
      <c r="J60" s="592"/>
    </row>
    <row r="61" spans="1:68" ht="21" customHeight="1">
      <c r="A61" s="783" t="s">
        <v>90</v>
      </c>
      <c r="B61" s="783"/>
      <c r="C61" s="783"/>
      <c r="D61" s="783"/>
      <c r="E61" s="783"/>
      <c r="F61" s="783"/>
      <c r="G61" s="783"/>
      <c r="H61" s="783"/>
      <c r="I61" s="783"/>
      <c r="J61" s="592"/>
    </row>
    <row r="62" spans="1:68" ht="21" customHeight="1">
      <c r="A62" s="553"/>
      <c r="B62" s="553"/>
      <c r="C62" s="554"/>
      <c r="D62" s="556"/>
      <c r="E62" s="555"/>
      <c r="F62" s="555"/>
      <c r="G62" s="500"/>
      <c r="H62" s="547"/>
    </row>
    <row r="63" spans="1:68" ht="12.75" customHeight="1">
      <c r="B63" s="494"/>
      <c r="C63" s="507"/>
      <c r="D63" s="504"/>
      <c r="E63" s="494"/>
      <c r="F63" s="526"/>
      <c r="G63" s="526"/>
    </row>
    <row r="64" spans="1:68" ht="12.75" customHeight="1">
      <c r="B64" s="494"/>
      <c r="C64" s="507"/>
      <c r="D64" s="504"/>
      <c r="E64" s="494"/>
      <c r="F64" s="526"/>
      <c r="G64" s="526"/>
    </row>
    <row r="65" spans="2:7" ht="12.75" customHeight="1">
      <c r="B65" s="494"/>
      <c r="C65" s="507"/>
      <c r="D65" s="504"/>
      <c r="E65" s="494"/>
      <c r="F65" s="526"/>
      <c r="G65" s="526"/>
    </row>
    <row r="66" spans="2:7" ht="12.75" customHeight="1">
      <c r="B66" s="494"/>
      <c r="C66" s="507"/>
      <c r="D66" s="504"/>
      <c r="E66" s="494"/>
      <c r="F66" s="526"/>
      <c r="G66" s="526"/>
    </row>
  </sheetData>
  <mergeCells count="92">
    <mergeCell ref="C57:J57"/>
    <mergeCell ref="C58:F58"/>
    <mergeCell ref="A59:I59"/>
    <mergeCell ref="A60:I60"/>
    <mergeCell ref="A61:I61"/>
    <mergeCell ref="C51:F51"/>
    <mergeCell ref="C52:J52"/>
    <mergeCell ref="C53:J53"/>
    <mergeCell ref="C54:F54"/>
    <mergeCell ref="A55:A56"/>
    <mergeCell ref="B55:B56"/>
    <mergeCell ref="C55:F55"/>
    <mergeCell ref="G55:G56"/>
    <mergeCell ref="H55:H56"/>
    <mergeCell ref="C45:J45"/>
    <mergeCell ref="C46:F46"/>
    <mergeCell ref="C47:J47"/>
    <mergeCell ref="C48:F48"/>
    <mergeCell ref="A49:A50"/>
    <mergeCell ref="B49:B50"/>
    <mergeCell ref="C49:F49"/>
    <mergeCell ref="G49:G50"/>
    <mergeCell ref="H49:H50"/>
    <mergeCell ref="H43:H44"/>
    <mergeCell ref="H36:H37"/>
    <mergeCell ref="C38:F38"/>
    <mergeCell ref="C39:F39"/>
    <mergeCell ref="A40:A41"/>
    <mergeCell ref="B40:B41"/>
    <mergeCell ref="C40:F40"/>
    <mergeCell ref="G40:G41"/>
    <mergeCell ref="H40:H41"/>
    <mergeCell ref="G36:G37"/>
    <mergeCell ref="C42:F42"/>
    <mergeCell ref="A43:A44"/>
    <mergeCell ref="B43:B44"/>
    <mergeCell ref="C43:F43"/>
    <mergeCell ref="G43:G44"/>
    <mergeCell ref="C34:F34"/>
    <mergeCell ref="C35:F35"/>
    <mergeCell ref="A36:A37"/>
    <mergeCell ref="B36:B37"/>
    <mergeCell ref="C36:F36"/>
    <mergeCell ref="C28:F28"/>
    <mergeCell ref="C29:J29"/>
    <mergeCell ref="C30:H30"/>
    <mergeCell ref="C31:F31"/>
    <mergeCell ref="A32:A33"/>
    <mergeCell ref="B32:B33"/>
    <mergeCell ref="C32:F32"/>
    <mergeCell ref="G32:G33"/>
    <mergeCell ref="H32:H33"/>
    <mergeCell ref="C27:J27"/>
    <mergeCell ref="M14:P14"/>
    <mergeCell ref="C16:F16"/>
    <mergeCell ref="C17:J17"/>
    <mergeCell ref="C18:J18"/>
    <mergeCell ref="C19:F19"/>
    <mergeCell ref="C22:J22"/>
    <mergeCell ref="C23:J23"/>
    <mergeCell ref="C24:F24"/>
    <mergeCell ref="C25:J25"/>
    <mergeCell ref="C26:F26"/>
    <mergeCell ref="A20:A21"/>
    <mergeCell ref="B20:B21"/>
    <mergeCell ref="C20:F20"/>
    <mergeCell ref="G20:G21"/>
    <mergeCell ref="H20:H21"/>
    <mergeCell ref="C12:J12"/>
    <mergeCell ref="C13:F13"/>
    <mergeCell ref="A14:A15"/>
    <mergeCell ref="B14:B15"/>
    <mergeCell ref="C14:F14"/>
    <mergeCell ref="G14:G15"/>
    <mergeCell ref="H14:H15"/>
    <mergeCell ref="C8:J8"/>
    <mergeCell ref="C9:F9"/>
    <mergeCell ref="A10:A11"/>
    <mergeCell ref="B10:B11"/>
    <mergeCell ref="C10:F10"/>
    <mergeCell ref="G10:G11"/>
    <mergeCell ref="H10:H11"/>
    <mergeCell ref="A1:J1"/>
    <mergeCell ref="A2:J2"/>
    <mergeCell ref="C3:F3"/>
    <mergeCell ref="B4:J4"/>
    <mergeCell ref="C5:J5"/>
    <mergeCell ref="A6:A7"/>
    <mergeCell ref="B6:B7"/>
    <mergeCell ref="C6:F6"/>
    <mergeCell ref="G6:G7"/>
    <mergeCell ref="H6:H7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EM305"/>
  <sheetViews>
    <sheetView view="pageBreakPreview" topLeftCell="A216" zoomScaleNormal="100" zoomScaleSheetLayoutView="100" workbookViewId="0">
      <selection activeCell="B242" sqref="B242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8.2851562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9.7109375" style="18" hidden="1" customWidth="1"/>
    <col min="9" max="9" width="13" style="20" customWidth="1"/>
    <col min="10" max="10" width="13.85546875" style="488" customWidth="1"/>
    <col min="11" max="11" width="17.85546875" style="488" customWidth="1"/>
    <col min="12" max="12" width="15.7109375" style="40" customWidth="1"/>
    <col min="13" max="13" width="13.5703125" style="40" customWidth="1"/>
    <col min="14" max="15" width="9.140625" style="40" customWidth="1"/>
    <col min="16" max="16" width="46.5703125" style="40" customWidth="1"/>
    <col min="17" max="17" width="9.140625" style="40" customWidth="1"/>
    <col min="18" max="18" width="56.42578125" style="40" customWidth="1"/>
    <col min="19" max="19" width="55" style="40" customWidth="1"/>
    <col min="20" max="16384" width="9.140625" style="40"/>
  </cols>
  <sheetData>
    <row r="1" spans="1:17" s="4" customFormat="1" ht="31.5" customHeight="1">
      <c r="A1" s="868" t="s">
        <v>68</v>
      </c>
      <c r="B1" s="869"/>
      <c r="C1" s="869"/>
      <c r="D1" s="869"/>
      <c r="E1" s="869"/>
      <c r="F1" s="869"/>
      <c r="G1" s="869"/>
      <c r="H1" s="869"/>
      <c r="I1" s="869"/>
      <c r="J1" s="869"/>
      <c r="K1" s="870"/>
    </row>
    <row r="2" spans="1:17" s="4" customFormat="1" ht="39" customHeight="1">
      <c r="A2" s="871" t="s">
        <v>779</v>
      </c>
      <c r="B2" s="872"/>
      <c r="C2" s="872"/>
      <c r="D2" s="872"/>
      <c r="E2" s="872"/>
      <c r="F2" s="872"/>
      <c r="G2" s="872"/>
      <c r="H2" s="872"/>
      <c r="I2" s="872"/>
      <c r="J2" s="872"/>
      <c r="K2" s="873"/>
      <c r="L2" s="6"/>
    </row>
    <row r="3" spans="1:17" ht="45" customHeight="1">
      <c r="A3" s="74" t="s">
        <v>3</v>
      </c>
      <c r="B3" s="449" t="s">
        <v>199</v>
      </c>
      <c r="C3" s="874" t="s">
        <v>190</v>
      </c>
      <c r="D3" s="875"/>
      <c r="E3" s="875"/>
      <c r="F3" s="876"/>
      <c r="G3" s="74" t="s">
        <v>5</v>
      </c>
      <c r="H3" s="22" t="s">
        <v>6</v>
      </c>
      <c r="I3" s="22" t="s">
        <v>6</v>
      </c>
      <c r="J3" s="389" t="s">
        <v>66</v>
      </c>
      <c r="K3" s="389" t="s">
        <v>67</v>
      </c>
      <c r="L3" s="3"/>
    </row>
    <row r="4" spans="1:17" ht="19.5" customHeight="1">
      <c r="A4" s="376" t="s">
        <v>33</v>
      </c>
      <c r="B4" s="877" t="s">
        <v>127</v>
      </c>
      <c r="C4" s="878"/>
      <c r="D4" s="878"/>
      <c r="E4" s="878"/>
      <c r="F4" s="878"/>
      <c r="G4" s="878"/>
      <c r="H4" s="878"/>
      <c r="I4" s="878"/>
      <c r="J4" s="878"/>
      <c r="K4" s="879"/>
      <c r="L4" s="3"/>
    </row>
    <row r="5" spans="1:17" ht="26.25" customHeight="1">
      <c r="A5" s="21" t="s">
        <v>54</v>
      </c>
      <c r="B5" s="448" t="s">
        <v>69</v>
      </c>
      <c r="C5" s="880" t="s">
        <v>46</v>
      </c>
      <c r="D5" s="881"/>
      <c r="E5" s="881"/>
      <c r="F5" s="881"/>
      <c r="G5" s="881"/>
      <c r="H5" s="881"/>
      <c r="I5" s="881"/>
      <c r="J5" s="881"/>
      <c r="K5" s="882"/>
      <c r="L5" s="3"/>
    </row>
    <row r="6" spans="1:17" ht="18.75" customHeight="1">
      <c r="A6" s="64" t="s">
        <v>34</v>
      </c>
      <c r="B6" s="571" t="s">
        <v>65</v>
      </c>
      <c r="C6" s="800" t="s">
        <v>100</v>
      </c>
      <c r="D6" s="801"/>
      <c r="E6" s="801"/>
      <c r="F6" s="801"/>
      <c r="G6" s="801"/>
      <c r="H6" s="801"/>
      <c r="I6" s="801"/>
      <c r="J6" s="801"/>
      <c r="K6" s="802"/>
      <c r="L6" s="3"/>
    </row>
    <row r="7" spans="1:17" ht="31.5" customHeight="1">
      <c r="A7" s="74" t="s">
        <v>101</v>
      </c>
      <c r="B7" s="572" t="str">
        <f>B6</f>
        <v>00.00.00</v>
      </c>
      <c r="C7" s="834" t="s">
        <v>773</v>
      </c>
      <c r="D7" s="835"/>
      <c r="E7" s="835"/>
      <c r="F7" s="836"/>
      <c r="G7" s="83" t="s">
        <v>325</v>
      </c>
      <c r="H7" s="236">
        <v>1</v>
      </c>
      <c r="I7" s="236">
        <f>H7</f>
        <v>1</v>
      </c>
      <c r="J7" s="467">
        <v>2500</v>
      </c>
      <c r="K7" s="389">
        <f>I7*J7</f>
        <v>2500</v>
      </c>
      <c r="L7" s="3"/>
      <c r="Q7" s="833"/>
    </row>
    <row r="8" spans="1:17" ht="60" customHeight="1">
      <c r="A8" s="74" t="s">
        <v>102</v>
      </c>
      <c r="B8" s="572" t="str">
        <f>B7</f>
        <v>00.00.00</v>
      </c>
      <c r="C8" s="834" t="s">
        <v>772</v>
      </c>
      <c r="D8" s="835"/>
      <c r="E8" s="835"/>
      <c r="F8" s="836"/>
      <c r="G8" s="83" t="s">
        <v>325</v>
      </c>
      <c r="H8" s="236">
        <v>1</v>
      </c>
      <c r="I8" s="236">
        <f>H8</f>
        <v>1</v>
      </c>
      <c r="J8" s="467">
        <v>2000</v>
      </c>
      <c r="K8" s="389">
        <f>I8*J8</f>
        <v>2000</v>
      </c>
      <c r="L8" s="3"/>
      <c r="Q8" s="833"/>
    </row>
    <row r="9" spans="1:17" ht="51.75" customHeight="1">
      <c r="A9" s="74" t="s">
        <v>103</v>
      </c>
      <c r="B9" s="66" t="s">
        <v>65</v>
      </c>
      <c r="C9" s="834" t="s">
        <v>774</v>
      </c>
      <c r="D9" s="835"/>
      <c r="E9" s="835"/>
      <c r="F9" s="836"/>
      <c r="G9" s="83" t="s">
        <v>325</v>
      </c>
      <c r="H9" s="236">
        <v>1</v>
      </c>
      <c r="I9" s="236">
        <f>H9</f>
        <v>1</v>
      </c>
      <c r="J9" s="467">
        <v>500</v>
      </c>
      <c r="K9" s="389">
        <f>I9*J9</f>
        <v>500</v>
      </c>
      <c r="L9" s="3"/>
      <c r="Q9" s="833"/>
    </row>
    <row r="10" spans="1:17" ht="41.25" customHeight="1">
      <c r="A10" s="74" t="s">
        <v>104</v>
      </c>
      <c r="B10" s="66" t="s">
        <v>65</v>
      </c>
      <c r="C10" s="834" t="s">
        <v>775</v>
      </c>
      <c r="D10" s="835"/>
      <c r="E10" s="835"/>
      <c r="F10" s="835"/>
      <c r="G10" s="83" t="s">
        <v>325</v>
      </c>
      <c r="H10" s="236">
        <v>1</v>
      </c>
      <c r="I10" s="236">
        <f>H10</f>
        <v>1</v>
      </c>
      <c r="J10" s="467">
        <v>1500</v>
      </c>
      <c r="K10" s="389">
        <f>I10*J10</f>
        <v>1500</v>
      </c>
      <c r="L10" s="3"/>
      <c r="Q10" s="833"/>
    </row>
    <row r="11" spans="1:17" ht="87" customHeight="1">
      <c r="A11" s="74" t="s">
        <v>105</v>
      </c>
      <c r="B11" s="66" t="s">
        <v>65</v>
      </c>
      <c r="C11" s="834" t="s">
        <v>407</v>
      </c>
      <c r="D11" s="835"/>
      <c r="E11" s="835"/>
      <c r="F11" s="836"/>
      <c r="G11" s="83" t="s">
        <v>325</v>
      </c>
      <c r="H11" s="236">
        <v>1</v>
      </c>
      <c r="I11" s="236">
        <f>H11</f>
        <v>1</v>
      </c>
      <c r="J11" s="467">
        <v>3500</v>
      </c>
      <c r="K11" s="389">
        <f>I11*J11</f>
        <v>3500</v>
      </c>
      <c r="L11" s="3"/>
      <c r="Q11" s="833"/>
    </row>
    <row r="12" spans="1:17" ht="15.75" customHeight="1">
      <c r="A12" s="837" t="s">
        <v>658</v>
      </c>
      <c r="B12" s="838"/>
      <c r="C12" s="838"/>
      <c r="D12" s="838"/>
      <c r="E12" s="838"/>
      <c r="F12" s="838"/>
      <c r="G12" s="838"/>
      <c r="H12" s="838"/>
      <c r="I12" s="838"/>
      <c r="J12" s="839"/>
      <c r="K12" s="401">
        <f>K7+K8+K9+K10+K11</f>
        <v>10000</v>
      </c>
      <c r="L12" s="399">
        <f>K12</f>
        <v>10000</v>
      </c>
      <c r="Q12" s="833"/>
    </row>
    <row r="13" spans="1:17" ht="15.75" customHeight="1">
      <c r="A13" s="840" t="s">
        <v>655</v>
      </c>
      <c r="B13" s="841"/>
      <c r="C13" s="841"/>
      <c r="D13" s="841"/>
      <c r="E13" s="841"/>
      <c r="F13" s="841"/>
      <c r="G13" s="841"/>
      <c r="H13" s="841"/>
      <c r="I13" s="841"/>
      <c r="J13" s="842"/>
      <c r="K13" s="403">
        <f>SUM(K12)</f>
        <v>10000</v>
      </c>
      <c r="L13" s="3"/>
      <c r="Q13" s="833"/>
    </row>
    <row r="14" spans="1:17" ht="20.25" customHeight="1">
      <c r="A14" s="376" t="s">
        <v>37</v>
      </c>
      <c r="B14" s="877" t="s">
        <v>732</v>
      </c>
      <c r="C14" s="878"/>
      <c r="D14" s="878"/>
      <c r="E14" s="878"/>
      <c r="F14" s="878"/>
      <c r="G14" s="878"/>
      <c r="H14" s="878"/>
      <c r="I14" s="878"/>
      <c r="J14" s="878"/>
      <c r="K14" s="879"/>
      <c r="L14" s="3"/>
    </row>
    <row r="15" spans="1:17" s="1" customFormat="1" ht="27" customHeight="1">
      <c r="A15" s="21" t="s">
        <v>56</v>
      </c>
      <c r="B15" s="448" t="s">
        <v>55</v>
      </c>
      <c r="C15" s="737" t="s">
        <v>175</v>
      </c>
      <c r="D15" s="737"/>
      <c r="E15" s="737"/>
      <c r="F15" s="737"/>
      <c r="G15" s="737"/>
      <c r="H15" s="737"/>
      <c r="I15" s="797"/>
      <c r="J15" s="468"/>
      <c r="K15" s="514"/>
      <c r="L15" s="487"/>
      <c r="M15" s="487"/>
      <c r="N15" s="487"/>
      <c r="O15" s="487"/>
      <c r="P15" s="487"/>
    </row>
    <row r="16" spans="1:17" ht="18" customHeight="1">
      <c r="A16" s="64" t="s">
        <v>34</v>
      </c>
      <c r="B16" s="450" t="s">
        <v>13</v>
      </c>
      <c r="C16" s="736" t="s">
        <v>107</v>
      </c>
      <c r="D16" s="736"/>
      <c r="E16" s="736"/>
      <c r="F16" s="736"/>
      <c r="G16" s="736"/>
      <c r="H16" s="740"/>
      <c r="I16" s="883"/>
      <c r="J16" s="469"/>
      <c r="K16" s="455"/>
      <c r="L16" s="3"/>
    </row>
    <row r="17" spans="1:15" s="14" customFormat="1" ht="20.25" customHeight="1">
      <c r="A17" s="74">
        <v>2</v>
      </c>
      <c r="B17" s="449" t="s">
        <v>131</v>
      </c>
      <c r="C17" s="843" t="s">
        <v>731</v>
      </c>
      <c r="D17" s="844"/>
      <c r="E17" s="844"/>
      <c r="F17" s="845"/>
      <c r="G17" s="74" t="s">
        <v>197</v>
      </c>
      <c r="H17" s="78"/>
      <c r="I17" s="78">
        <f>SUM(H18:H18)</f>
        <v>0.74</v>
      </c>
      <c r="J17" s="467">
        <v>4500</v>
      </c>
      <c r="K17" s="389">
        <f>I17*J17</f>
        <v>3330</v>
      </c>
      <c r="L17" s="1"/>
    </row>
    <row r="18" spans="1:15" ht="72.75" hidden="1" customHeight="1">
      <c r="A18" s="846"/>
      <c r="B18" s="848"/>
      <c r="C18" s="850" t="s">
        <v>882</v>
      </c>
      <c r="D18" s="851"/>
      <c r="E18" s="851"/>
      <c r="F18" s="852"/>
      <c r="G18" s="853" t="s">
        <v>197</v>
      </c>
      <c r="H18" s="855">
        <v>0.74</v>
      </c>
      <c r="I18" s="857" t="s">
        <v>34</v>
      </c>
      <c r="J18" s="861"/>
      <c r="K18" s="859"/>
      <c r="L18" s="3"/>
      <c r="M18" s="314"/>
    </row>
    <row r="19" spans="1:15" ht="24" hidden="1" customHeight="1">
      <c r="A19" s="847"/>
      <c r="B19" s="849"/>
      <c r="C19" s="460" t="s">
        <v>712</v>
      </c>
      <c r="D19" s="461">
        <f>H18</f>
        <v>0.74</v>
      </c>
      <c r="E19" s="461" t="str">
        <f>G18</f>
        <v>km</v>
      </c>
      <c r="F19" s="462" t="s">
        <v>715</v>
      </c>
      <c r="G19" s="854"/>
      <c r="H19" s="856"/>
      <c r="I19" s="858"/>
      <c r="J19" s="862"/>
      <c r="K19" s="860"/>
      <c r="L19" s="3"/>
    </row>
    <row r="20" spans="1:15" ht="15.75" customHeight="1">
      <c r="A20" s="64" t="s">
        <v>34</v>
      </c>
      <c r="B20" s="73" t="s">
        <v>408</v>
      </c>
      <c r="C20" s="800" t="s">
        <v>722</v>
      </c>
      <c r="D20" s="801"/>
      <c r="E20" s="801"/>
      <c r="F20" s="801"/>
      <c r="G20" s="801"/>
      <c r="H20" s="801"/>
      <c r="I20" s="801"/>
      <c r="J20" s="469"/>
      <c r="K20" s="455"/>
      <c r="L20" s="3"/>
    </row>
    <row r="21" spans="1:15" ht="15.75" customHeight="1">
      <c r="A21" s="552">
        <v>3</v>
      </c>
      <c r="B21" s="75" t="s">
        <v>412</v>
      </c>
      <c r="C21" s="843" t="s">
        <v>413</v>
      </c>
      <c r="D21" s="844"/>
      <c r="E21" s="844"/>
      <c r="F21" s="845"/>
      <c r="G21" s="552" t="s">
        <v>708</v>
      </c>
      <c r="H21" s="545"/>
      <c r="I21" s="443">
        <f>H22</f>
        <v>150</v>
      </c>
      <c r="J21" s="467">
        <v>5.5</v>
      </c>
      <c r="K21" s="389">
        <f>I21*J21</f>
        <v>825</v>
      </c>
      <c r="L21" s="453"/>
      <c r="M21" s="441"/>
      <c r="N21" s="442"/>
      <c r="O21" s="527"/>
    </row>
    <row r="22" spans="1:15" ht="45" hidden="1" customHeight="1">
      <c r="A22" s="846"/>
      <c r="B22" s="863"/>
      <c r="C22" s="865" t="s">
        <v>733</v>
      </c>
      <c r="D22" s="866"/>
      <c r="E22" s="866"/>
      <c r="F22" s="867"/>
      <c r="G22" s="853" t="s">
        <v>708</v>
      </c>
      <c r="H22" s="855">
        <v>150</v>
      </c>
      <c r="I22" s="884" t="s">
        <v>34</v>
      </c>
      <c r="J22" s="444"/>
      <c r="K22" s="482"/>
      <c r="L22" s="453"/>
    </row>
    <row r="23" spans="1:15" ht="15.75" hidden="1" customHeight="1">
      <c r="A23" s="847"/>
      <c r="B23" s="864"/>
      <c r="C23" s="460" t="s">
        <v>713</v>
      </c>
      <c r="D23" s="483">
        <f>H22</f>
        <v>150</v>
      </c>
      <c r="E23" s="484" t="s">
        <v>708</v>
      </c>
      <c r="F23" s="462"/>
      <c r="G23" s="854"/>
      <c r="H23" s="856"/>
      <c r="I23" s="885"/>
      <c r="J23" s="444"/>
      <c r="K23" s="482"/>
      <c r="L23" s="453"/>
    </row>
    <row r="24" spans="1:15" ht="18" customHeight="1">
      <c r="A24" s="64" t="s">
        <v>34</v>
      </c>
      <c r="B24" s="571" t="s">
        <v>14</v>
      </c>
      <c r="C24" s="736" t="s">
        <v>108</v>
      </c>
      <c r="D24" s="736"/>
      <c r="E24" s="736"/>
      <c r="F24" s="736"/>
      <c r="G24" s="736"/>
      <c r="H24" s="736"/>
      <c r="I24" s="800"/>
      <c r="J24" s="469"/>
      <c r="K24" s="455"/>
      <c r="L24" s="3"/>
    </row>
    <row r="25" spans="1:15" s="14" customFormat="1" ht="31.5" customHeight="1">
      <c r="A25" s="74">
        <v>4</v>
      </c>
      <c r="B25" s="449" t="s">
        <v>418</v>
      </c>
      <c r="C25" s="843" t="s">
        <v>417</v>
      </c>
      <c r="D25" s="844"/>
      <c r="E25" s="844"/>
      <c r="F25" s="845"/>
      <c r="G25" s="74" t="s">
        <v>176</v>
      </c>
      <c r="H25" s="78"/>
      <c r="I25" s="78">
        <f>H26</f>
        <v>1860</v>
      </c>
      <c r="J25" s="467">
        <v>2.2999999999999998</v>
      </c>
      <c r="K25" s="389">
        <f>I25*J25</f>
        <v>4278</v>
      </c>
      <c r="L25" s="1"/>
    </row>
    <row r="26" spans="1:15" ht="54" hidden="1" customHeight="1">
      <c r="A26" s="846"/>
      <c r="B26" s="848"/>
      <c r="C26" s="850" t="s">
        <v>730</v>
      </c>
      <c r="D26" s="851"/>
      <c r="E26" s="851"/>
      <c r="F26" s="852"/>
      <c r="G26" s="853" t="s">
        <v>177</v>
      </c>
      <c r="H26" s="855">
        <v>1860</v>
      </c>
      <c r="I26" s="855" t="s">
        <v>34</v>
      </c>
      <c r="J26" s="861"/>
      <c r="K26" s="859"/>
      <c r="L26" s="3"/>
    </row>
    <row r="27" spans="1:15" ht="21" hidden="1" customHeight="1">
      <c r="A27" s="847"/>
      <c r="B27" s="849"/>
      <c r="C27" s="460" t="s">
        <v>713</v>
      </c>
      <c r="D27" s="461">
        <f>H26</f>
        <v>1860</v>
      </c>
      <c r="E27" s="463" t="str">
        <f>G26</f>
        <v>m2</v>
      </c>
      <c r="F27" s="462" t="s">
        <v>716</v>
      </c>
      <c r="G27" s="854"/>
      <c r="H27" s="856"/>
      <c r="I27" s="856"/>
      <c r="J27" s="862"/>
      <c r="K27" s="860"/>
      <c r="L27" s="3"/>
    </row>
    <row r="28" spans="1:15" ht="17.25" customHeight="1">
      <c r="A28" s="64" t="s">
        <v>34</v>
      </c>
      <c r="B28" s="571" t="s">
        <v>15</v>
      </c>
      <c r="C28" s="736" t="s">
        <v>10</v>
      </c>
      <c r="D28" s="736"/>
      <c r="E28" s="736"/>
      <c r="F28" s="736"/>
      <c r="G28" s="736"/>
      <c r="H28" s="736"/>
      <c r="I28" s="800"/>
      <c r="J28" s="469"/>
      <c r="K28" s="455"/>
      <c r="L28" s="3"/>
      <c r="M28" s="452"/>
    </row>
    <row r="29" spans="1:15" ht="17.25" customHeight="1">
      <c r="A29" s="74">
        <v>5</v>
      </c>
      <c r="B29" s="66" t="s">
        <v>735</v>
      </c>
      <c r="C29" s="843" t="s">
        <v>780</v>
      </c>
      <c r="D29" s="844"/>
      <c r="E29" s="844"/>
      <c r="F29" s="845"/>
      <c r="G29" s="74" t="s">
        <v>325</v>
      </c>
      <c r="H29" s="78">
        <v>1</v>
      </c>
      <c r="I29" s="78">
        <v>1</v>
      </c>
      <c r="J29" s="467">
        <v>8500</v>
      </c>
      <c r="K29" s="389">
        <f>I29*J29</f>
        <v>8500</v>
      </c>
      <c r="L29" s="3"/>
      <c r="M29" s="452"/>
    </row>
    <row r="30" spans="1:15" ht="99.75" hidden="1" customHeight="1">
      <c r="A30" s="846"/>
      <c r="B30" s="848"/>
      <c r="C30" s="850" t="s">
        <v>840</v>
      </c>
      <c r="D30" s="851"/>
      <c r="E30" s="851"/>
      <c r="F30" s="852"/>
      <c r="G30" s="853" t="s">
        <v>325</v>
      </c>
      <c r="H30" s="855"/>
      <c r="I30" s="765" t="s">
        <v>34</v>
      </c>
      <c r="J30" s="467"/>
      <c r="K30" s="389"/>
      <c r="L30" s="418"/>
      <c r="M30" s="452"/>
    </row>
    <row r="31" spans="1:15" ht="20.25" hidden="1" customHeight="1">
      <c r="A31" s="847"/>
      <c r="B31" s="849"/>
      <c r="C31" s="460" t="s">
        <v>713</v>
      </c>
      <c r="D31" s="461">
        <f>H30</f>
        <v>0</v>
      </c>
      <c r="E31" s="463" t="s">
        <v>708</v>
      </c>
      <c r="F31" s="462" t="s">
        <v>811</v>
      </c>
      <c r="G31" s="854"/>
      <c r="H31" s="856"/>
      <c r="I31" s="765"/>
      <c r="J31" s="467"/>
      <c r="K31" s="389"/>
      <c r="L31" s="3"/>
      <c r="M31" s="452"/>
    </row>
    <row r="32" spans="1:15" ht="23.25" customHeight="1">
      <c r="A32" s="74">
        <v>6</v>
      </c>
      <c r="B32" s="66" t="s">
        <v>737</v>
      </c>
      <c r="C32" s="843" t="s">
        <v>738</v>
      </c>
      <c r="D32" s="844"/>
      <c r="E32" s="844"/>
      <c r="F32" s="845"/>
      <c r="G32" s="74" t="s">
        <v>11</v>
      </c>
      <c r="H32" s="78"/>
      <c r="I32" s="78">
        <v>2</v>
      </c>
      <c r="J32" s="467">
        <v>32</v>
      </c>
      <c r="K32" s="389">
        <f>I32*J32</f>
        <v>64</v>
      </c>
      <c r="L32" s="3"/>
    </row>
    <row r="33" spans="1:143" ht="36.75" hidden="1" customHeight="1">
      <c r="A33" s="886"/>
      <c r="B33" s="888"/>
      <c r="C33" s="850" t="s">
        <v>841</v>
      </c>
      <c r="D33" s="851"/>
      <c r="E33" s="851"/>
      <c r="F33" s="852"/>
      <c r="G33" s="853" t="s">
        <v>11</v>
      </c>
      <c r="H33" s="855"/>
      <c r="I33" s="765" t="s">
        <v>34</v>
      </c>
      <c r="J33" s="467"/>
      <c r="K33" s="389"/>
      <c r="L33" s="3"/>
    </row>
    <row r="34" spans="1:143" ht="23.25" hidden="1" customHeight="1">
      <c r="A34" s="887"/>
      <c r="B34" s="889"/>
      <c r="C34" s="460" t="s">
        <v>712</v>
      </c>
      <c r="D34" s="461">
        <f>H33</f>
        <v>0</v>
      </c>
      <c r="E34" s="463" t="s">
        <v>11</v>
      </c>
      <c r="F34" s="462" t="s">
        <v>718</v>
      </c>
      <c r="G34" s="854"/>
      <c r="H34" s="856"/>
      <c r="I34" s="765"/>
      <c r="J34" s="467"/>
      <c r="K34" s="389"/>
      <c r="L34" s="3"/>
    </row>
    <row r="35" spans="1:143" ht="24" customHeight="1">
      <c r="A35" s="74">
        <v>7</v>
      </c>
      <c r="B35" s="75" t="s">
        <v>141</v>
      </c>
      <c r="C35" s="843" t="s">
        <v>138</v>
      </c>
      <c r="D35" s="844"/>
      <c r="E35" s="844"/>
      <c r="F35" s="845"/>
      <c r="G35" s="552" t="s">
        <v>9</v>
      </c>
      <c r="H35" s="545"/>
      <c r="I35" s="459">
        <v>3</v>
      </c>
      <c r="J35" s="467">
        <v>15</v>
      </c>
      <c r="K35" s="389">
        <f>I35*J35</f>
        <v>45</v>
      </c>
      <c r="L35" s="3"/>
    </row>
    <row r="36" spans="1:143" ht="50.25" hidden="1" customHeight="1">
      <c r="A36" s="886"/>
      <c r="B36" s="888"/>
      <c r="C36" s="850" t="s">
        <v>781</v>
      </c>
      <c r="D36" s="851"/>
      <c r="E36" s="851"/>
      <c r="F36" s="852"/>
      <c r="G36" s="853" t="s">
        <v>9</v>
      </c>
      <c r="H36" s="855"/>
      <c r="I36" s="765" t="s">
        <v>34</v>
      </c>
      <c r="J36" s="467"/>
      <c r="K36" s="389"/>
      <c r="L36" s="3"/>
    </row>
    <row r="37" spans="1:143" ht="25.5" hidden="1" customHeight="1">
      <c r="A37" s="887"/>
      <c r="B37" s="889"/>
      <c r="C37" s="460" t="s">
        <v>717</v>
      </c>
      <c r="D37" s="461">
        <f>H36</f>
        <v>0</v>
      </c>
      <c r="E37" s="463" t="s">
        <v>9</v>
      </c>
      <c r="F37" s="462" t="s">
        <v>808</v>
      </c>
      <c r="G37" s="854"/>
      <c r="H37" s="856"/>
      <c r="I37" s="765"/>
      <c r="J37" s="467"/>
      <c r="K37" s="389"/>
      <c r="L37" s="3"/>
    </row>
    <row r="38" spans="1:143" ht="25.5" customHeight="1">
      <c r="A38" s="74">
        <v>8</v>
      </c>
      <c r="B38" s="75" t="s">
        <v>736</v>
      </c>
      <c r="C38" s="843" t="s">
        <v>139</v>
      </c>
      <c r="D38" s="844"/>
      <c r="E38" s="844"/>
      <c r="F38" s="845"/>
      <c r="G38" s="552" t="s">
        <v>9</v>
      </c>
      <c r="H38" s="545"/>
      <c r="I38" s="459">
        <f>H39</f>
        <v>4</v>
      </c>
      <c r="J38" s="467">
        <v>5.8</v>
      </c>
      <c r="K38" s="389">
        <f>I38*J38</f>
        <v>23.2</v>
      </c>
      <c r="L38" s="3"/>
    </row>
    <row r="39" spans="1:143" ht="44.25" hidden="1" customHeight="1">
      <c r="A39" s="886"/>
      <c r="B39" s="888"/>
      <c r="C39" s="850" t="s">
        <v>939</v>
      </c>
      <c r="D39" s="851"/>
      <c r="E39" s="851"/>
      <c r="F39" s="852"/>
      <c r="G39" s="853" t="s">
        <v>9</v>
      </c>
      <c r="H39" s="855">
        <v>4</v>
      </c>
      <c r="I39" s="765" t="s">
        <v>34</v>
      </c>
      <c r="J39" s="444"/>
      <c r="K39" s="482"/>
      <c r="L39" s="3"/>
    </row>
    <row r="40" spans="1:143" ht="22.5" hidden="1" customHeight="1">
      <c r="A40" s="887"/>
      <c r="B40" s="889"/>
      <c r="C40" s="460" t="s">
        <v>717</v>
      </c>
      <c r="D40" s="461">
        <f>H39</f>
        <v>4</v>
      </c>
      <c r="E40" s="463" t="s">
        <v>9</v>
      </c>
      <c r="F40" s="462" t="s">
        <v>808</v>
      </c>
      <c r="G40" s="854"/>
      <c r="H40" s="856"/>
      <c r="I40" s="765"/>
      <c r="J40" s="444"/>
      <c r="K40" s="482"/>
      <c r="L40" s="3"/>
    </row>
    <row r="41" spans="1:143" ht="15.75">
      <c r="A41" s="837" t="s">
        <v>657</v>
      </c>
      <c r="B41" s="838"/>
      <c r="C41" s="838"/>
      <c r="D41" s="838"/>
      <c r="E41" s="838"/>
      <c r="F41" s="838"/>
      <c r="G41" s="838"/>
      <c r="H41" s="838"/>
      <c r="I41" s="838"/>
      <c r="J41" s="839"/>
      <c r="K41" s="445">
        <f>K17+K21+K25+K29+K32+K35+K38</f>
        <v>17065.2</v>
      </c>
      <c r="L41" s="3"/>
    </row>
    <row r="42" spans="1:143" ht="26.25" customHeight="1">
      <c r="A42" s="21" t="s">
        <v>58</v>
      </c>
      <c r="B42" s="448" t="s">
        <v>111</v>
      </c>
      <c r="C42" s="880" t="s">
        <v>189</v>
      </c>
      <c r="D42" s="881"/>
      <c r="E42" s="881"/>
      <c r="F42" s="881"/>
      <c r="G42" s="881"/>
      <c r="H42" s="881"/>
      <c r="I42" s="881"/>
      <c r="J42" s="881"/>
      <c r="K42" s="882"/>
      <c r="L42" s="399"/>
      <c r="M42" s="452"/>
    </row>
    <row r="43" spans="1:143" s="15" customFormat="1" ht="21" customHeight="1">
      <c r="A43" s="64" t="s">
        <v>34</v>
      </c>
      <c r="B43" s="571" t="s">
        <v>142</v>
      </c>
      <c r="C43" s="736" t="s">
        <v>147</v>
      </c>
      <c r="D43" s="736"/>
      <c r="E43" s="736"/>
      <c r="F43" s="736"/>
      <c r="G43" s="736"/>
      <c r="H43" s="736"/>
      <c r="I43" s="800"/>
      <c r="J43" s="470"/>
      <c r="K43" s="455"/>
      <c r="L43" s="8"/>
      <c r="M43" s="8"/>
      <c r="N43" s="8"/>
      <c r="O43" s="8"/>
      <c r="P43" s="8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</row>
    <row r="44" spans="1:143" s="15" customFormat="1" ht="26.25" customHeight="1">
      <c r="A44" s="74">
        <v>9</v>
      </c>
      <c r="B44" s="572" t="s">
        <v>143</v>
      </c>
      <c r="C44" s="890" t="s">
        <v>146</v>
      </c>
      <c r="D44" s="891"/>
      <c r="E44" s="891"/>
      <c r="F44" s="892"/>
      <c r="G44" s="74" t="s">
        <v>179</v>
      </c>
      <c r="H44" s="78"/>
      <c r="I44" s="78">
        <f>H45</f>
        <v>509.89</v>
      </c>
      <c r="J44" s="467">
        <v>22</v>
      </c>
      <c r="K44" s="389">
        <f>I44*J44</f>
        <v>11217.58</v>
      </c>
      <c r="L44" s="285"/>
      <c r="M44" s="285"/>
      <c r="N44" s="285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</row>
    <row r="45" spans="1:143" s="15" customFormat="1" ht="85.5" hidden="1" customHeight="1">
      <c r="A45" s="846"/>
      <c r="B45" s="893"/>
      <c r="C45" s="850" t="s">
        <v>835</v>
      </c>
      <c r="D45" s="851"/>
      <c r="E45" s="851"/>
      <c r="F45" s="852"/>
      <c r="G45" s="853" t="s">
        <v>178</v>
      </c>
      <c r="H45" s="855">
        <f>(738*0.3*0.7+738*0.6*0.5+10*1.1*1.1*0.6+10*0.7*0.7*1+250*0.3*1)*1.1</f>
        <v>509.89</v>
      </c>
      <c r="I45" s="897" t="s">
        <v>34</v>
      </c>
      <c r="J45" s="861"/>
      <c r="K45" s="899"/>
      <c r="L45" s="285"/>
      <c r="M45" s="439"/>
      <c r="N45" s="57"/>
      <c r="O45" s="57"/>
      <c r="P45" s="21" t="s">
        <v>48</v>
      </c>
      <c r="Q45" s="21" t="s">
        <v>112</v>
      </c>
      <c r="R45" s="735" t="s">
        <v>758</v>
      </c>
      <c r="S45" s="735"/>
      <c r="T45" s="735"/>
      <c r="U45" s="735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</row>
    <row r="46" spans="1:143" s="15" customFormat="1" ht="18" hidden="1" customHeight="1">
      <c r="A46" s="847"/>
      <c r="B46" s="894"/>
      <c r="C46" s="460" t="s">
        <v>714</v>
      </c>
      <c r="D46" s="461">
        <f>H45</f>
        <v>509.89</v>
      </c>
      <c r="E46" s="463" t="str">
        <f>G45</f>
        <v>m3</v>
      </c>
      <c r="F46" s="462" t="s">
        <v>716</v>
      </c>
      <c r="G46" s="854"/>
      <c r="H46" s="856"/>
      <c r="I46" s="898"/>
      <c r="J46" s="862"/>
      <c r="K46" s="900"/>
      <c r="L46" s="285"/>
      <c r="M46" s="439"/>
      <c r="N46" s="57"/>
      <c r="O46" s="57"/>
      <c r="P46" s="64" t="s">
        <v>34</v>
      </c>
      <c r="Q46" s="64" t="s">
        <v>150</v>
      </c>
      <c r="R46" s="736" t="s">
        <v>151</v>
      </c>
      <c r="S46" s="736"/>
      <c r="T46" s="736"/>
      <c r="U46" s="736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</row>
    <row r="47" spans="1:143" s="14" customFormat="1" ht="21" customHeight="1">
      <c r="A47" s="64" t="s">
        <v>34</v>
      </c>
      <c r="B47" s="571" t="s">
        <v>70</v>
      </c>
      <c r="C47" s="800" t="s">
        <v>71</v>
      </c>
      <c r="D47" s="801"/>
      <c r="E47" s="801"/>
      <c r="F47" s="801"/>
      <c r="G47" s="801"/>
      <c r="H47" s="801"/>
      <c r="I47" s="801"/>
      <c r="J47" s="471"/>
      <c r="K47" s="455"/>
      <c r="L47" s="8"/>
      <c r="P47" s="379">
        <v>19</v>
      </c>
      <c r="Q47" s="66" t="s">
        <v>759</v>
      </c>
      <c r="R47" s="108" t="s">
        <v>760</v>
      </c>
      <c r="S47" s="458" t="s">
        <v>179</v>
      </c>
      <c r="T47" s="566" t="s">
        <v>34</v>
      </c>
      <c r="U47" s="566">
        <f>T48</f>
        <v>3.3</v>
      </c>
    </row>
    <row r="48" spans="1:143" s="14" customFormat="1" ht="35.25" customHeight="1">
      <c r="A48" s="379">
        <v>10</v>
      </c>
      <c r="B48" s="572" t="s">
        <v>148</v>
      </c>
      <c r="C48" s="843" t="s">
        <v>460</v>
      </c>
      <c r="D48" s="844"/>
      <c r="E48" s="844"/>
      <c r="F48" s="845"/>
      <c r="G48" s="86" t="s">
        <v>179</v>
      </c>
      <c r="H48" s="87"/>
      <c r="I48" s="87">
        <f>H49</f>
        <v>797.04</v>
      </c>
      <c r="J48" s="467">
        <v>33</v>
      </c>
      <c r="K48" s="389">
        <f>I48*J48</f>
        <v>26302.32</v>
      </c>
      <c r="L48" s="8"/>
      <c r="N48" s="286"/>
      <c r="P48" s="379"/>
      <c r="Q48" s="75"/>
      <c r="R48" s="109" t="s">
        <v>761</v>
      </c>
      <c r="S48" s="81" t="s">
        <v>178</v>
      </c>
      <c r="T48" s="82">
        <v>3.3</v>
      </c>
      <c r="U48" s="82" t="s">
        <v>34</v>
      </c>
    </row>
    <row r="49" spans="1:21" s="14" customFormat="1" ht="34.5" hidden="1" customHeight="1">
      <c r="A49" s="895"/>
      <c r="B49" s="893"/>
      <c r="C49" s="850" t="s">
        <v>836</v>
      </c>
      <c r="D49" s="851"/>
      <c r="E49" s="851"/>
      <c r="F49" s="852"/>
      <c r="G49" s="853" t="s">
        <v>178</v>
      </c>
      <c r="H49" s="855">
        <f>1.8*0.6*738</f>
        <v>797.04</v>
      </c>
      <c r="I49" s="855" t="s">
        <v>34</v>
      </c>
      <c r="J49" s="899"/>
      <c r="K49" s="859"/>
      <c r="L49" s="8"/>
      <c r="M49" s="286"/>
      <c r="P49" s="64" t="s">
        <v>34</v>
      </c>
      <c r="Q49" s="64" t="s">
        <v>155</v>
      </c>
      <c r="R49" s="736" t="s">
        <v>762</v>
      </c>
      <c r="S49" s="736"/>
      <c r="T49" s="736"/>
      <c r="U49" s="736"/>
    </row>
    <row r="50" spans="1:21" s="14" customFormat="1" ht="30.75" hidden="1" customHeight="1">
      <c r="A50" s="896"/>
      <c r="B50" s="894"/>
      <c r="C50" s="460" t="s">
        <v>714</v>
      </c>
      <c r="D50" s="461">
        <f>H49</f>
        <v>797.04</v>
      </c>
      <c r="E50" s="463" t="str">
        <f>G49</f>
        <v>m3</v>
      </c>
      <c r="F50" s="462" t="s">
        <v>716</v>
      </c>
      <c r="G50" s="854"/>
      <c r="H50" s="856"/>
      <c r="I50" s="856"/>
      <c r="J50" s="900"/>
      <c r="K50" s="860"/>
      <c r="L50" s="8"/>
      <c r="M50" s="286"/>
    </row>
    <row r="51" spans="1:21" s="14" customFormat="1" ht="24" hidden="1" customHeight="1">
      <c r="A51" s="837" t="s">
        <v>659</v>
      </c>
      <c r="B51" s="838"/>
      <c r="C51" s="838"/>
      <c r="D51" s="838"/>
      <c r="E51" s="838"/>
      <c r="F51" s="838"/>
      <c r="G51" s="838"/>
      <c r="H51" s="838"/>
      <c r="I51" s="838"/>
      <c r="J51" s="839"/>
      <c r="K51" s="479" t="e">
        <f>K48+#REF!+#REF!+K44</f>
        <v>#REF!</v>
      </c>
      <c r="L51" s="399" t="e">
        <f>K51</f>
        <v>#REF!</v>
      </c>
      <c r="M51" s="286"/>
      <c r="N51" s="548"/>
    </row>
    <row r="52" spans="1:21" ht="15.75">
      <c r="A52" s="837" t="s">
        <v>659</v>
      </c>
      <c r="B52" s="838"/>
      <c r="C52" s="838"/>
      <c r="D52" s="838"/>
      <c r="E52" s="838"/>
      <c r="F52" s="838"/>
      <c r="G52" s="838"/>
      <c r="H52" s="838"/>
      <c r="I52" s="838"/>
      <c r="J52" s="839"/>
      <c r="K52" s="445">
        <f>K44+K48</f>
        <v>37519.9</v>
      </c>
      <c r="L52" s="3"/>
    </row>
    <row r="53" spans="1:21" s="14" customFormat="1" ht="24" customHeight="1">
      <c r="A53" s="21" t="s">
        <v>48</v>
      </c>
      <c r="B53" s="21" t="s">
        <v>112</v>
      </c>
      <c r="C53" s="880" t="s">
        <v>768</v>
      </c>
      <c r="D53" s="881"/>
      <c r="E53" s="881"/>
      <c r="F53" s="881"/>
      <c r="G53" s="881"/>
      <c r="H53" s="881"/>
      <c r="I53" s="881"/>
      <c r="J53" s="881"/>
      <c r="K53" s="882"/>
      <c r="L53" s="399"/>
      <c r="M53" s="286"/>
      <c r="N53" s="548"/>
    </row>
    <row r="54" spans="1:21" s="14" customFormat="1" ht="21.75" customHeight="1">
      <c r="A54" s="64" t="s">
        <v>34</v>
      </c>
      <c r="B54" s="64" t="s">
        <v>94</v>
      </c>
      <c r="C54" s="800" t="s">
        <v>95</v>
      </c>
      <c r="D54" s="801"/>
      <c r="E54" s="801"/>
      <c r="F54" s="801"/>
      <c r="G54" s="801"/>
      <c r="H54" s="801"/>
      <c r="I54" s="801"/>
      <c r="J54" s="801"/>
      <c r="K54" s="802"/>
      <c r="L54" s="399"/>
      <c r="M54" s="286"/>
      <c r="N54" s="548"/>
    </row>
    <row r="55" spans="1:21" s="14" customFormat="1" ht="27" customHeight="1">
      <c r="A55" s="74">
        <v>11</v>
      </c>
      <c r="B55" s="66" t="s">
        <v>793</v>
      </c>
      <c r="C55" s="843" t="s">
        <v>791</v>
      </c>
      <c r="D55" s="844"/>
      <c r="E55" s="844"/>
      <c r="F55" s="845"/>
      <c r="G55" s="458" t="s">
        <v>11</v>
      </c>
      <c r="H55" s="566"/>
      <c r="I55" s="566">
        <f>H56</f>
        <v>158</v>
      </c>
      <c r="J55" s="467">
        <v>350</v>
      </c>
      <c r="K55" s="389">
        <f>I55*J55</f>
        <v>55300</v>
      </c>
      <c r="L55" s="399"/>
      <c r="M55" s="286"/>
      <c r="N55" s="548"/>
    </row>
    <row r="56" spans="1:21" s="14" customFormat="1" ht="57" hidden="1" customHeight="1">
      <c r="A56" s="846"/>
      <c r="B56" s="846"/>
      <c r="C56" s="911" t="s">
        <v>792</v>
      </c>
      <c r="D56" s="911"/>
      <c r="E56" s="911"/>
      <c r="F56" s="911"/>
      <c r="G56" s="853" t="s">
        <v>11</v>
      </c>
      <c r="H56" s="855">
        <v>158</v>
      </c>
      <c r="I56" s="905" t="s">
        <v>34</v>
      </c>
      <c r="J56" s="467"/>
      <c r="K56" s="389">
        <f t="shared" ref="K56:K78" si="0">H56*J56</f>
        <v>0</v>
      </c>
      <c r="L56" s="531"/>
      <c r="M56" s="286"/>
      <c r="N56" s="548"/>
    </row>
    <row r="57" spans="1:21" s="14" customFormat="1" ht="21.75" hidden="1" customHeight="1">
      <c r="A57" s="910"/>
      <c r="B57" s="910"/>
      <c r="C57" s="532" t="s">
        <v>712</v>
      </c>
      <c r="D57" s="461">
        <f>H56</f>
        <v>158</v>
      </c>
      <c r="E57" s="461" t="s">
        <v>11</v>
      </c>
      <c r="F57" s="462" t="s">
        <v>716</v>
      </c>
      <c r="G57" s="854"/>
      <c r="H57" s="856"/>
      <c r="I57" s="906"/>
      <c r="J57" s="467"/>
      <c r="K57" s="389">
        <f t="shared" si="0"/>
        <v>0</v>
      </c>
      <c r="L57" s="399"/>
      <c r="M57" s="286"/>
      <c r="N57" s="548"/>
    </row>
    <row r="58" spans="1:21" s="14" customFormat="1" ht="21.75" hidden="1" customHeight="1">
      <c r="A58" s="910"/>
      <c r="B58" s="910"/>
      <c r="C58" s="902" t="s">
        <v>158</v>
      </c>
      <c r="D58" s="903"/>
      <c r="E58" s="903"/>
      <c r="F58" s="904"/>
      <c r="G58" s="853" t="s">
        <v>34</v>
      </c>
      <c r="H58" s="853" t="s">
        <v>34</v>
      </c>
      <c r="I58" s="853" t="s">
        <v>34</v>
      </c>
      <c r="J58" s="467"/>
      <c r="K58" s="389" t="e">
        <f t="shared" si="0"/>
        <v>#VALUE!</v>
      </c>
      <c r="L58" s="399"/>
      <c r="M58" s="286"/>
      <c r="N58" s="548"/>
    </row>
    <row r="59" spans="1:21" s="14" customFormat="1" ht="33.75" hidden="1" customHeight="1">
      <c r="A59" s="910"/>
      <c r="B59" s="910"/>
      <c r="C59" s="902" t="s">
        <v>837</v>
      </c>
      <c r="D59" s="903"/>
      <c r="E59" s="903"/>
      <c r="F59" s="904"/>
      <c r="G59" s="901"/>
      <c r="H59" s="901"/>
      <c r="I59" s="901"/>
      <c r="J59" s="467"/>
      <c r="K59" s="389">
        <f t="shared" si="0"/>
        <v>0</v>
      </c>
      <c r="L59" s="399"/>
      <c r="M59" s="286"/>
      <c r="N59" s="548"/>
    </row>
    <row r="60" spans="1:21" s="14" customFormat="1" ht="30.75" hidden="1" customHeight="1">
      <c r="A60" s="847"/>
      <c r="B60" s="847"/>
      <c r="C60" s="902" t="s">
        <v>839</v>
      </c>
      <c r="D60" s="903"/>
      <c r="E60" s="903"/>
      <c r="F60" s="904"/>
      <c r="G60" s="854"/>
      <c r="H60" s="854"/>
      <c r="I60" s="854"/>
      <c r="J60" s="467"/>
      <c r="K60" s="389">
        <f t="shared" si="0"/>
        <v>0</v>
      </c>
      <c r="L60" s="399"/>
      <c r="M60" s="286"/>
      <c r="N60" s="548"/>
    </row>
    <row r="61" spans="1:21" s="14" customFormat="1" ht="32.25" customHeight="1">
      <c r="A61" s="74">
        <v>12</v>
      </c>
      <c r="B61" s="66" t="s">
        <v>790</v>
      </c>
      <c r="C61" s="843" t="s">
        <v>918</v>
      </c>
      <c r="D61" s="844"/>
      <c r="E61" s="844"/>
      <c r="F61" s="845"/>
      <c r="G61" s="458" t="s">
        <v>11</v>
      </c>
      <c r="H61" s="566"/>
      <c r="I61" s="566">
        <f>H62</f>
        <v>540</v>
      </c>
      <c r="J61" s="467">
        <v>452</v>
      </c>
      <c r="K61" s="389">
        <f>I61*J61</f>
        <v>244080</v>
      </c>
      <c r="L61" s="399"/>
      <c r="M61" s="286"/>
      <c r="N61" s="548"/>
    </row>
    <row r="62" spans="1:21" s="14" customFormat="1" ht="52.5" hidden="1" customHeight="1">
      <c r="A62" s="846"/>
      <c r="B62" s="846"/>
      <c r="C62" s="911" t="s">
        <v>789</v>
      </c>
      <c r="D62" s="911"/>
      <c r="E62" s="911"/>
      <c r="F62" s="911"/>
      <c r="G62" s="853" t="s">
        <v>11</v>
      </c>
      <c r="H62" s="855">
        <v>540</v>
      </c>
      <c r="I62" s="905" t="s">
        <v>34</v>
      </c>
      <c r="J62" s="467"/>
      <c r="K62" s="389">
        <f t="shared" si="0"/>
        <v>0</v>
      </c>
      <c r="L62" s="399"/>
      <c r="M62" s="286"/>
      <c r="N62" s="548"/>
    </row>
    <row r="63" spans="1:21" s="14" customFormat="1" ht="19.5" hidden="1" customHeight="1">
      <c r="A63" s="910"/>
      <c r="B63" s="910"/>
      <c r="C63" s="532" t="s">
        <v>712</v>
      </c>
      <c r="D63" s="461">
        <f>H62</f>
        <v>540</v>
      </c>
      <c r="E63" s="461" t="s">
        <v>11</v>
      </c>
      <c r="F63" s="462" t="s">
        <v>716</v>
      </c>
      <c r="G63" s="854"/>
      <c r="H63" s="856"/>
      <c r="I63" s="906"/>
      <c r="J63" s="467"/>
      <c r="K63" s="389">
        <f t="shared" si="0"/>
        <v>0</v>
      </c>
      <c r="L63" s="399"/>
      <c r="M63" s="286"/>
      <c r="N63" s="548"/>
    </row>
    <row r="64" spans="1:21" s="14" customFormat="1" ht="19.5" hidden="1" customHeight="1">
      <c r="A64" s="910"/>
      <c r="B64" s="910"/>
      <c r="C64" s="902" t="s">
        <v>158</v>
      </c>
      <c r="D64" s="903"/>
      <c r="E64" s="903"/>
      <c r="F64" s="904"/>
      <c r="G64" s="853" t="s">
        <v>34</v>
      </c>
      <c r="H64" s="853" t="s">
        <v>34</v>
      </c>
      <c r="I64" s="853" t="s">
        <v>34</v>
      </c>
      <c r="J64" s="467"/>
      <c r="K64" s="389" t="e">
        <f t="shared" si="0"/>
        <v>#VALUE!</v>
      </c>
      <c r="L64" s="399"/>
      <c r="M64" s="286"/>
      <c r="N64" s="548"/>
    </row>
    <row r="65" spans="1:14" s="14" customFormat="1" ht="36" hidden="1" customHeight="1">
      <c r="A65" s="910"/>
      <c r="B65" s="910"/>
      <c r="C65" s="902" t="s">
        <v>838</v>
      </c>
      <c r="D65" s="903"/>
      <c r="E65" s="903"/>
      <c r="F65" s="904"/>
      <c r="G65" s="901"/>
      <c r="H65" s="901"/>
      <c r="I65" s="901"/>
      <c r="J65" s="467"/>
      <c r="K65" s="389">
        <f t="shared" si="0"/>
        <v>0</v>
      </c>
      <c r="L65" s="399"/>
      <c r="M65" s="286"/>
      <c r="N65" s="548"/>
    </row>
    <row r="66" spans="1:14" s="14" customFormat="1" ht="36" hidden="1" customHeight="1">
      <c r="A66" s="847"/>
      <c r="B66" s="847"/>
      <c r="C66" s="902" t="s">
        <v>839</v>
      </c>
      <c r="D66" s="903"/>
      <c r="E66" s="903"/>
      <c r="F66" s="904"/>
      <c r="G66" s="854"/>
      <c r="H66" s="854"/>
      <c r="I66" s="854"/>
      <c r="J66" s="467"/>
      <c r="K66" s="389">
        <f t="shared" si="0"/>
        <v>0</v>
      </c>
      <c r="L66" s="399"/>
      <c r="M66" s="286"/>
      <c r="N66" s="548"/>
    </row>
    <row r="67" spans="1:14" s="14" customFormat="1" ht="24" customHeight="1">
      <c r="A67" s="552">
        <v>13</v>
      </c>
      <c r="B67" s="66" t="s">
        <v>790</v>
      </c>
      <c r="C67" s="843" t="s">
        <v>833</v>
      </c>
      <c r="D67" s="844"/>
      <c r="E67" s="844"/>
      <c r="F67" s="845"/>
      <c r="G67" s="552" t="s">
        <v>11</v>
      </c>
      <c r="H67" s="545"/>
      <c r="I67" s="543">
        <f>H68</f>
        <v>8</v>
      </c>
      <c r="J67" s="467">
        <v>1500</v>
      </c>
      <c r="K67" s="389">
        <f>I67*J67</f>
        <v>12000</v>
      </c>
      <c r="L67" s="399"/>
      <c r="M67" s="286"/>
      <c r="N67" s="548"/>
    </row>
    <row r="68" spans="1:14" s="14" customFormat="1" ht="103.5" hidden="1" customHeight="1">
      <c r="A68" s="846"/>
      <c r="B68" s="863"/>
      <c r="C68" s="907" t="s">
        <v>834</v>
      </c>
      <c r="D68" s="908"/>
      <c r="E68" s="908"/>
      <c r="F68" s="909"/>
      <c r="G68" s="550" t="s">
        <v>11</v>
      </c>
      <c r="H68" s="551">
        <v>8</v>
      </c>
      <c r="I68" s="540" t="s">
        <v>34</v>
      </c>
      <c r="J68" s="467"/>
      <c r="K68" s="389">
        <f t="shared" si="0"/>
        <v>0</v>
      </c>
      <c r="L68" s="399"/>
      <c r="M68" s="286"/>
      <c r="N68" s="548"/>
    </row>
    <row r="69" spans="1:14" s="14" customFormat="1" ht="19.5" hidden="1" customHeight="1">
      <c r="A69" s="847"/>
      <c r="B69" s="864"/>
      <c r="C69" s="532" t="s">
        <v>712</v>
      </c>
      <c r="D69" s="461">
        <v>8</v>
      </c>
      <c r="E69" s="461" t="s">
        <v>11</v>
      </c>
      <c r="F69" s="462" t="s">
        <v>715</v>
      </c>
      <c r="G69" s="550"/>
      <c r="H69" s="551"/>
      <c r="I69" s="540"/>
      <c r="J69" s="467"/>
      <c r="K69" s="389">
        <f t="shared" si="0"/>
        <v>0</v>
      </c>
      <c r="L69" s="399"/>
      <c r="M69" s="286"/>
      <c r="N69" s="548"/>
    </row>
    <row r="70" spans="1:14" s="14" customFormat="1" ht="24" customHeight="1">
      <c r="A70" s="525">
        <v>14</v>
      </c>
      <c r="B70" s="66" t="s">
        <v>770</v>
      </c>
      <c r="C70" s="843" t="s">
        <v>771</v>
      </c>
      <c r="D70" s="844"/>
      <c r="E70" s="844"/>
      <c r="F70" s="845"/>
      <c r="G70" s="458" t="s">
        <v>11</v>
      </c>
      <c r="H70" s="566"/>
      <c r="I70" s="566">
        <f>H71</f>
        <v>10.8</v>
      </c>
      <c r="J70" s="467">
        <v>186</v>
      </c>
      <c r="K70" s="389">
        <f>I70*J70</f>
        <v>2008.8</v>
      </c>
      <c r="L70" s="399"/>
      <c r="M70" s="286"/>
      <c r="N70" s="548"/>
    </row>
    <row r="71" spans="1:14" s="14" customFormat="1" ht="48.75" hidden="1" customHeight="1">
      <c r="A71" s="912"/>
      <c r="B71" s="914"/>
      <c r="C71" s="850" t="s">
        <v>787</v>
      </c>
      <c r="D71" s="851"/>
      <c r="E71" s="851"/>
      <c r="F71" s="852"/>
      <c r="G71" s="853" t="s">
        <v>11</v>
      </c>
      <c r="H71" s="855">
        <f>9*1.2</f>
        <v>10.8</v>
      </c>
      <c r="I71" s="905" t="s">
        <v>34</v>
      </c>
      <c r="J71" s="467"/>
      <c r="K71" s="389">
        <f t="shared" si="0"/>
        <v>0</v>
      </c>
      <c r="L71" s="530"/>
      <c r="M71" s="286"/>
      <c r="N71" s="548"/>
    </row>
    <row r="72" spans="1:14" s="14" customFormat="1" ht="21.75" hidden="1" customHeight="1">
      <c r="A72" s="913"/>
      <c r="B72" s="915"/>
      <c r="C72" s="508" t="s">
        <v>712</v>
      </c>
      <c r="D72" s="461">
        <f>H71</f>
        <v>10.8</v>
      </c>
      <c r="E72" s="461" t="s">
        <v>11</v>
      </c>
      <c r="F72" s="462" t="s">
        <v>716</v>
      </c>
      <c r="G72" s="854"/>
      <c r="H72" s="856"/>
      <c r="I72" s="906"/>
      <c r="J72" s="467"/>
      <c r="K72" s="389">
        <f t="shared" si="0"/>
        <v>0</v>
      </c>
      <c r="L72" s="399"/>
      <c r="M72" s="286"/>
      <c r="N72" s="548"/>
    </row>
    <row r="73" spans="1:14" s="14" customFormat="1" ht="24" customHeight="1">
      <c r="A73" s="525">
        <v>15</v>
      </c>
      <c r="B73" s="66" t="s">
        <v>469</v>
      </c>
      <c r="C73" s="843" t="s">
        <v>786</v>
      </c>
      <c r="D73" s="844"/>
      <c r="E73" s="844"/>
      <c r="F73" s="845"/>
      <c r="G73" s="458" t="s">
        <v>12</v>
      </c>
      <c r="H73" s="566"/>
      <c r="I73" s="566">
        <f>H74</f>
        <v>10</v>
      </c>
      <c r="J73" s="467">
        <v>1570</v>
      </c>
      <c r="K73" s="389">
        <f>I73*J73</f>
        <v>15700</v>
      </c>
      <c r="L73" s="399"/>
      <c r="M73" s="286"/>
      <c r="N73" s="548"/>
    </row>
    <row r="74" spans="1:14" s="14" customFormat="1" ht="63" hidden="1" customHeight="1">
      <c r="A74" s="912"/>
      <c r="B74" s="914"/>
      <c r="C74" s="850" t="s">
        <v>794</v>
      </c>
      <c r="D74" s="851"/>
      <c r="E74" s="851"/>
      <c r="F74" s="852"/>
      <c r="G74" s="853" t="s">
        <v>12</v>
      </c>
      <c r="H74" s="855">
        <v>10</v>
      </c>
      <c r="I74" s="905" t="s">
        <v>34</v>
      </c>
      <c r="J74" s="467"/>
      <c r="K74" s="389">
        <f t="shared" si="0"/>
        <v>0</v>
      </c>
      <c r="L74" s="399"/>
      <c r="M74" s="286"/>
      <c r="N74" s="548"/>
    </row>
    <row r="75" spans="1:14" s="14" customFormat="1" ht="21" hidden="1" customHeight="1">
      <c r="A75" s="913"/>
      <c r="B75" s="915"/>
      <c r="C75" s="508" t="s">
        <v>717</v>
      </c>
      <c r="D75" s="461">
        <f>H74</f>
        <v>10</v>
      </c>
      <c r="E75" s="461" t="s">
        <v>9</v>
      </c>
      <c r="F75" s="462" t="s">
        <v>716</v>
      </c>
      <c r="G75" s="854"/>
      <c r="H75" s="856"/>
      <c r="I75" s="906"/>
      <c r="J75" s="467"/>
      <c r="K75" s="389">
        <f t="shared" si="0"/>
        <v>0</v>
      </c>
      <c r="L75" s="399"/>
      <c r="M75" s="286"/>
      <c r="N75" s="548"/>
    </row>
    <row r="76" spans="1:14" s="14" customFormat="1" ht="34.5" customHeight="1">
      <c r="A76" s="379">
        <v>16</v>
      </c>
      <c r="B76" s="66" t="s">
        <v>160</v>
      </c>
      <c r="C76" s="762" t="s">
        <v>783</v>
      </c>
      <c r="D76" s="762"/>
      <c r="E76" s="762"/>
      <c r="F76" s="762"/>
      <c r="G76" s="458" t="s">
        <v>12</v>
      </c>
      <c r="H76" s="566"/>
      <c r="I76" s="566">
        <f>H77</f>
        <v>9</v>
      </c>
      <c r="J76" s="467">
        <v>985</v>
      </c>
      <c r="K76" s="389">
        <f>I76*J76</f>
        <v>8865</v>
      </c>
      <c r="L76" s="399"/>
      <c r="M76" s="286"/>
      <c r="N76" s="548"/>
    </row>
    <row r="77" spans="1:14" s="14" customFormat="1" ht="60.75" hidden="1" customHeight="1">
      <c r="A77" s="895"/>
      <c r="B77" s="916"/>
      <c r="C77" s="850" t="s">
        <v>784</v>
      </c>
      <c r="D77" s="851"/>
      <c r="E77" s="851"/>
      <c r="F77" s="852"/>
      <c r="G77" s="853" t="s">
        <v>12</v>
      </c>
      <c r="H77" s="855">
        <v>9</v>
      </c>
      <c r="I77" s="905" t="s">
        <v>34</v>
      </c>
      <c r="J77" s="467"/>
      <c r="K77" s="389">
        <f t="shared" si="0"/>
        <v>0</v>
      </c>
      <c r="L77" s="399"/>
      <c r="M77" s="286"/>
      <c r="N77" s="548"/>
    </row>
    <row r="78" spans="1:14" s="14" customFormat="1" ht="20.25" hidden="1" customHeight="1">
      <c r="A78" s="896"/>
      <c r="B78" s="917"/>
      <c r="C78" s="513" t="s">
        <v>717</v>
      </c>
      <c r="D78" s="461">
        <v>9</v>
      </c>
      <c r="E78" s="461" t="s">
        <v>9</v>
      </c>
      <c r="F78" s="462" t="s">
        <v>769</v>
      </c>
      <c r="G78" s="854"/>
      <c r="H78" s="856"/>
      <c r="I78" s="906"/>
      <c r="J78" s="467"/>
      <c r="K78" s="389">
        <f t="shared" si="0"/>
        <v>0</v>
      </c>
      <c r="L78" s="399"/>
      <c r="M78" s="286"/>
      <c r="N78" s="548"/>
    </row>
    <row r="79" spans="1:14" s="14" customFormat="1" ht="33.75" customHeight="1">
      <c r="A79" s="379">
        <v>17</v>
      </c>
      <c r="B79" s="66" t="s">
        <v>160</v>
      </c>
      <c r="C79" s="762" t="s">
        <v>795</v>
      </c>
      <c r="D79" s="762"/>
      <c r="E79" s="762"/>
      <c r="F79" s="762"/>
      <c r="G79" s="458" t="s">
        <v>12</v>
      </c>
      <c r="H79" s="566"/>
      <c r="I79" s="566">
        <f>H80</f>
        <v>1</v>
      </c>
      <c r="J79" s="467">
        <v>1200</v>
      </c>
      <c r="K79" s="389">
        <f>I79*J79</f>
        <v>1200</v>
      </c>
      <c r="L79" s="399"/>
      <c r="M79" s="286"/>
      <c r="N79" s="548"/>
    </row>
    <row r="80" spans="1:14" s="14" customFormat="1" ht="59.25" hidden="1" customHeight="1">
      <c r="A80" s="895"/>
      <c r="B80" s="916"/>
      <c r="C80" s="850" t="s">
        <v>785</v>
      </c>
      <c r="D80" s="851"/>
      <c r="E80" s="851"/>
      <c r="F80" s="852"/>
      <c r="G80" s="853" t="s">
        <v>12</v>
      </c>
      <c r="H80" s="855">
        <v>1</v>
      </c>
      <c r="I80" s="905" t="s">
        <v>34</v>
      </c>
      <c r="J80" s="576"/>
      <c r="K80" s="489"/>
      <c r="L80" s="399"/>
      <c r="M80" s="286"/>
      <c r="N80" s="548"/>
    </row>
    <row r="81" spans="1:21" s="14" customFormat="1" ht="33" hidden="1" customHeight="1">
      <c r="A81" s="896"/>
      <c r="B81" s="917"/>
      <c r="C81" s="513" t="s">
        <v>717</v>
      </c>
      <c r="D81" s="461">
        <v>1</v>
      </c>
      <c r="E81" s="461" t="s">
        <v>9</v>
      </c>
      <c r="F81" s="462" t="s">
        <v>769</v>
      </c>
      <c r="G81" s="854"/>
      <c r="H81" s="856"/>
      <c r="I81" s="906"/>
      <c r="J81" s="576"/>
      <c r="K81" s="489"/>
      <c r="L81" s="399"/>
      <c r="M81" s="286"/>
      <c r="N81" s="548"/>
    </row>
    <row r="82" spans="1:21" ht="15.75">
      <c r="A82" s="837" t="s">
        <v>661</v>
      </c>
      <c r="B82" s="838"/>
      <c r="C82" s="838"/>
      <c r="D82" s="838"/>
      <c r="E82" s="838"/>
      <c r="F82" s="838"/>
      <c r="G82" s="838"/>
      <c r="H82" s="838"/>
      <c r="I82" s="838"/>
      <c r="J82" s="839"/>
      <c r="K82" s="445">
        <f>K55+K61+K67+K70+K73+K76+K79</f>
        <v>339153.8</v>
      </c>
      <c r="L82" s="3"/>
    </row>
    <row r="83" spans="1:21" s="3" customFormat="1" ht="27" customHeight="1">
      <c r="A83" s="21" t="s">
        <v>49</v>
      </c>
      <c r="B83" s="448" t="s">
        <v>57</v>
      </c>
      <c r="C83" s="737" t="s">
        <v>181</v>
      </c>
      <c r="D83" s="737"/>
      <c r="E83" s="737"/>
      <c r="F83" s="737"/>
      <c r="G83" s="737"/>
      <c r="H83" s="737"/>
      <c r="I83" s="797"/>
      <c r="J83" s="472"/>
      <c r="K83" s="456"/>
      <c r="P83" s="74">
        <v>58</v>
      </c>
      <c r="Q83" s="569" t="s">
        <v>763</v>
      </c>
      <c r="R83" s="565" t="s">
        <v>764</v>
      </c>
      <c r="S83" s="458" t="str">
        <f>S84</f>
        <v>szt</v>
      </c>
      <c r="T83" s="566" t="s">
        <v>34</v>
      </c>
      <c r="U83" s="566">
        <f>T84</f>
        <v>9</v>
      </c>
    </row>
    <row r="84" spans="1:21" s="1" customFormat="1" ht="18" customHeight="1">
      <c r="A84" s="64" t="s">
        <v>34</v>
      </c>
      <c r="B84" s="571" t="s">
        <v>98</v>
      </c>
      <c r="C84" s="736" t="s">
        <v>99</v>
      </c>
      <c r="D84" s="736"/>
      <c r="E84" s="736"/>
      <c r="F84" s="736"/>
      <c r="G84" s="736"/>
      <c r="H84" s="736"/>
      <c r="I84" s="800"/>
      <c r="J84" s="471"/>
      <c r="K84" s="454"/>
      <c r="L84" s="3"/>
      <c r="P84" s="567"/>
      <c r="Q84" s="574"/>
      <c r="R84" s="573" t="s">
        <v>765</v>
      </c>
      <c r="S84" s="567" t="s">
        <v>12</v>
      </c>
      <c r="T84" s="568">
        <v>9</v>
      </c>
      <c r="U84" s="566" t="s">
        <v>34</v>
      </c>
    </row>
    <row r="85" spans="1:21" s="1" customFormat="1" ht="27.75" customHeight="1">
      <c r="A85" s="86">
        <v>18</v>
      </c>
      <c r="B85" s="431" t="s">
        <v>209</v>
      </c>
      <c r="C85" s="794" t="s">
        <v>796</v>
      </c>
      <c r="D85" s="795"/>
      <c r="E85" s="795"/>
      <c r="F85" s="796"/>
      <c r="G85" s="86" t="s">
        <v>176</v>
      </c>
      <c r="H85" s="87"/>
      <c r="I85" s="87">
        <f>H86</f>
        <v>7585.9</v>
      </c>
      <c r="J85" s="467">
        <v>3.4</v>
      </c>
      <c r="K85" s="389">
        <f>I85*J85</f>
        <v>25792.06</v>
      </c>
      <c r="L85" s="3"/>
      <c r="P85" s="567" t="s">
        <v>766</v>
      </c>
      <c r="Q85" s="574" t="s">
        <v>763</v>
      </c>
      <c r="R85" s="573" t="s">
        <v>767</v>
      </c>
      <c r="S85" s="567" t="s">
        <v>178</v>
      </c>
      <c r="T85" s="568">
        <f>8.8*5*0.2</f>
        <v>8.8000000000000007</v>
      </c>
      <c r="U85" s="566" t="s">
        <v>34</v>
      </c>
    </row>
    <row r="86" spans="1:21" s="1" customFormat="1" ht="58.5" hidden="1" customHeight="1">
      <c r="A86" s="918"/>
      <c r="B86" s="920"/>
      <c r="C86" s="926" t="s">
        <v>812</v>
      </c>
      <c r="D86" s="927"/>
      <c r="E86" s="927"/>
      <c r="F86" s="928"/>
      <c r="G86" s="922" t="s">
        <v>177</v>
      </c>
      <c r="H86" s="924">
        <f>7551.1+34.8</f>
        <v>7585.9</v>
      </c>
      <c r="I86" s="924" t="s">
        <v>34</v>
      </c>
      <c r="J86" s="467"/>
      <c r="K86" s="389"/>
      <c r="L86" s="140"/>
      <c r="M86" s="267"/>
    </row>
    <row r="87" spans="1:21" s="1" customFormat="1" ht="18.75" hidden="1" customHeight="1">
      <c r="A87" s="919"/>
      <c r="B87" s="921"/>
      <c r="C87" s="460" t="s">
        <v>713</v>
      </c>
      <c r="D87" s="461">
        <f>H86</f>
        <v>7585.9</v>
      </c>
      <c r="E87" s="463" t="str">
        <f>G86</f>
        <v>m2</v>
      </c>
      <c r="F87" s="462" t="s">
        <v>811</v>
      </c>
      <c r="G87" s="923"/>
      <c r="H87" s="925"/>
      <c r="I87" s="925"/>
      <c r="J87" s="467"/>
      <c r="K87" s="389"/>
      <c r="L87" s="140"/>
      <c r="M87" s="267"/>
    </row>
    <row r="88" spans="1:21" s="1" customFormat="1" ht="18.75" customHeight="1">
      <c r="A88" s="537">
        <v>19</v>
      </c>
      <c r="B88" s="564" t="s">
        <v>162</v>
      </c>
      <c r="C88" s="794" t="s">
        <v>575</v>
      </c>
      <c r="D88" s="795"/>
      <c r="E88" s="795"/>
      <c r="F88" s="796"/>
      <c r="G88" s="86" t="s">
        <v>176</v>
      </c>
      <c r="H88" s="87"/>
      <c r="I88" s="87">
        <f>H89</f>
        <v>34.799999999999997</v>
      </c>
      <c r="J88" s="467">
        <v>16</v>
      </c>
      <c r="K88" s="389">
        <f>I88*J88</f>
        <v>556.79999999999995</v>
      </c>
      <c r="L88" s="140"/>
      <c r="M88" s="267"/>
    </row>
    <row r="89" spans="1:21" s="1" customFormat="1" ht="38.25" hidden="1" customHeight="1">
      <c r="A89" s="918"/>
      <c r="B89" s="920"/>
      <c r="C89" s="850" t="s">
        <v>810</v>
      </c>
      <c r="D89" s="851"/>
      <c r="E89" s="851"/>
      <c r="F89" s="852"/>
      <c r="G89" s="922" t="s">
        <v>177</v>
      </c>
      <c r="H89" s="924">
        <f>29*1.2</f>
        <v>34.799999999999997</v>
      </c>
      <c r="I89" s="924" t="s">
        <v>34</v>
      </c>
      <c r="J89" s="533"/>
      <c r="K89" s="534"/>
      <c r="L89" s="267"/>
      <c r="M89" s="267"/>
    </row>
    <row r="90" spans="1:21" s="1" customFormat="1" ht="18.75" hidden="1" customHeight="1">
      <c r="A90" s="919"/>
      <c r="B90" s="921"/>
      <c r="C90" s="460" t="s">
        <v>713</v>
      </c>
      <c r="D90" s="461">
        <f>H89</f>
        <v>34.799999999999997</v>
      </c>
      <c r="E90" s="463" t="str">
        <f>G89</f>
        <v>m2</v>
      </c>
      <c r="F90" s="462" t="s">
        <v>811</v>
      </c>
      <c r="G90" s="923"/>
      <c r="H90" s="925"/>
      <c r="I90" s="925"/>
      <c r="J90" s="533"/>
      <c r="K90" s="534"/>
      <c r="L90" s="140"/>
      <c r="M90" s="267"/>
    </row>
    <row r="91" spans="1:21" s="1" customFormat="1" ht="18.75" customHeight="1">
      <c r="A91" s="64" t="s">
        <v>34</v>
      </c>
      <c r="B91" s="64" t="s">
        <v>17</v>
      </c>
      <c r="C91" s="800" t="s">
        <v>18</v>
      </c>
      <c r="D91" s="801"/>
      <c r="E91" s="801"/>
      <c r="F91" s="801"/>
      <c r="G91" s="801"/>
      <c r="H91" s="801"/>
      <c r="I91" s="801"/>
      <c r="J91" s="801"/>
      <c r="K91" s="802"/>
      <c r="L91" s="140"/>
      <c r="M91" s="267"/>
    </row>
    <row r="92" spans="1:21" s="1" customFormat="1" ht="36" customHeight="1">
      <c r="A92" s="458">
        <v>20</v>
      </c>
      <c r="B92" s="564" t="s">
        <v>709</v>
      </c>
      <c r="C92" s="794" t="s">
        <v>710</v>
      </c>
      <c r="D92" s="795"/>
      <c r="E92" s="795"/>
      <c r="F92" s="796"/>
      <c r="G92" s="86" t="s">
        <v>176</v>
      </c>
      <c r="H92" s="87"/>
      <c r="I92" s="87">
        <f>H93</f>
        <v>216.44</v>
      </c>
      <c r="J92" s="467">
        <v>5.5</v>
      </c>
      <c r="K92" s="389">
        <f>I92*J92</f>
        <v>1190.42</v>
      </c>
      <c r="L92" s="140"/>
      <c r="M92" s="267"/>
    </row>
    <row r="93" spans="1:21" s="1" customFormat="1" ht="35.25" hidden="1" customHeight="1">
      <c r="A93" s="918"/>
      <c r="B93" s="920"/>
      <c r="C93" s="926" t="s">
        <v>925</v>
      </c>
      <c r="D93" s="927"/>
      <c r="E93" s="927"/>
      <c r="F93" s="928"/>
      <c r="G93" s="922" t="s">
        <v>177</v>
      </c>
      <c r="H93" s="924">
        <f>H140</f>
        <v>216.44</v>
      </c>
      <c r="I93" s="924" t="s">
        <v>34</v>
      </c>
      <c r="J93" s="467"/>
      <c r="K93" s="389"/>
      <c r="L93" s="140"/>
      <c r="M93" s="267"/>
    </row>
    <row r="94" spans="1:21" s="1" customFormat="1" ht="18.75" hidden="1" customHeight="1">
      <c r="A94" s="919"/>
      <c r="B94" s="921"/>
      <c r="C94" s="460" t="s">
        <v>713</v>
      </c>
      <c r="D94" s="461">
        <f>H93</f>
        <v>216.44</v>
      </c>
      <c r="E94" s="463" t="str">
        <f>G93</f>
        <v>m2</v>
      </c>
      <c r="F94" s="462" t="s">
        <v>715</v>
      </c>
      <c r="G94" s="923"/>
      <c r="H94" s="925"/>
      <c r="I94" s="925"/>
      <c r="J94" s="467"/>
      <c r="K94" s="389"/>
      <c r="L94" s="140"/>
      <c r="M94" s="267"/>
    </row>
    <row r="95" spans="1:21" s="1" customFormat="1" ht="30" customHeight="1">
      <c r="A95" s="458">
        <v>21</v>
      </c>
      <c r="B95" s="564" t="s">
        <v>709</v>
      </c>
      <c r="C95" s="794" t="s">
        <v>711</v>
      </c>
      <c r="D95" s="795"/>
      <c r="E95" s="795"/>
      <c r="F95" s="796"/>
      <c r="G95" s="86" t="s">
        <v>176</v>
      </c>
      <c r="H95" s="87"/>
      <c r="I95" s="87">
        <f>H96</f>
        <v>454.84</v>
      </c>
      <c r="J95" s="467">
        <v>5.5</v>
      </c>
      <c r="K95" s="389">
        <f>I95*J95</f>
        <v>2501.62</v>
      </c>
      <c r="L95" s="140"/>
      <c r="M95" s="267"/>
    </row>
    <row r="96" spans="1:21" s="1" customFormat="1" ht="48.75" hidden="1" customHeight="1">
      <c r="A96" s="918"/>
      <c r="B96" s="920"/>
      <c r="C96" s="926" t="s">
        <v>826</v>
      </c>
      <c r="D96" s="927"/>
      <c r="E96" s="927"/>
      <c r="F96" s="928"/>
      <c r="G96" s="922" t="s">
        <v>177</v>
      </c>
      <c r="H96" s="924">
        <f>H143</f>
        <v>454.84</v>
      </c>
      <c r="I96" s="924" t="s">
        <v>34</v>
      </c>
      <c r="J96" s="533"/>
      <c r="K96" s="534"/>
      <c r="L96" s="140"/>
      <c r="M96" s="267"/>
    </row>
    <row r="97" spans="1:13" s="1" customFormat="1" ht="21.75" hidden="1" customHeight="1">
      <c r="A97" s="919"/>
      <c r="B97" s="921"/>
      <c r="C97" s="460" t="s">
        <v>713</v>
      </c>
      <c r="D97" s="461">
        <f>H96</f>
        <v>454.84</v>
      </c>
      <c r="E97" s="463" t="str">
        <f>G96</f>
        <v>m2</v>
      </c>
      <c r="F97" s="462" t="s">
        <v>715</v>
      </c>
      <c r="G97" s="923"/>
      <c r="H97" s="925"/>
      <c r="I97" s="925"/>
      <c r="J97" s="533"/>
      <c r="K97" s="534"/>
      <c r="L97" s="140"/>
      <c r="M97" s="267"/>
    </row>
    <row r="98" spans="1:13" s="8" customFormat="1" ht="18" customHeight="1">
      <c r="A98" s="64" t="s">
        <v>34</v>
      </c>
      <c r="B98" s="571" t="s">
        <v>19</v>
      </c>
      <c r="C98" s="736" t="s">
        <v>20</v>
      </c>
      <c r="D98" s="736"/>
      <c r="E98" s="736"/>
      <c r="F98" s="736"/>
      <c r="G98" s="736"/>
      <c r="H98" s="736"/>
      <c r="I98" s="800"/>
      <c r="J98" s="471"/>
      <c r="K98" s="454"/>
      <c r="L98" s="1"/>
    </row>
    <row r="99" spans="1:13" s="8" customFormat="1" ht="30" customHeight="1">
      <c r="A99" s="86">
        <v>22</v>
      </c>
      <c r="B99" s="432" t="s">
        <v>797</v>
      </c>
      <c r="C99" s="929" t="s">
        <v>490</v>
      </c>
      <c r="D99" s="930"/>
      <c r="E99" s="930"/>
      <c r="F99" s="931"/>
      <c r="G99" s="86" t="s">
        <v>176</v>
      </c>
      <c r="H99" s="87"/>
      <c r="I99" s="87" t="e">
        <f>SUM(H100:H100)</f>
        <v>#REF!</v>
      </c>
      <c r="J99" s="467">
        <v>19.600000000000001</v>
      </c>
      <c r="K99" s="389" t="e">
        <f>I99*J99</f>
        <v>#REF!</v>
      </c>
      <c r="L99" s="1"/>
    </row>
    <row r="100" spans="1:13" s="8" customFormat="1" ht="45" hidden="1" customHeight="1">
      <c r="A100" s="918"/>
      <c r="B100" s="932"/>
      <c r="C100" s="926" t="s">
        <v>813</v>
      </c>
      <c r="D100" s="927"/>
      <c r="E100" s="927"/>
      <c r="F100" s="928"/>
      <c r="G100" s="922" t="s">
        <v>177</v>
      </c>
      <c r="H100" s="934" t="e">
        <f>738*2-#REF!-#REF!+40.5*1.2</f>
        <v>#REF!</v>
      </c>
      <c r="I100" s="936" t="s">
        <v>34</v>
      </c>
      <c r="J100" s="467" t="s">
        <v>34</v>
      </c>
      <c r="K100" s="389" t="s">
        <v>34</v>
      </c>
      <c r="M100" s="1"/>
    </row>
    <row r="101" spans="1:13" s="8" customFormat="1" ht="20.25" hidden="1" customHeight="1">
      <c r="A101" s="919"/>
      <c r="B101" s="933"/>
      <c r="C101" s="460" t="s">
        <v>713</v>
      </c>
      <c r="D101" s="461" t="e">
        <f>H100</f>
        <v>#REF!</v>
      </c>
      <c r="E101" s="463" t="str">
        <f>G100</f>
        <v>m2</v>
      </c>
      <c r="F101" s="462" t="s">
        <v>716</v>
      </c>
      <c r="G101" s="923"/>
      <c r="H101" s="935"/>
      <c r="I101" s="937"/>
      <c r="J101" s="467"/>
      <c r="K101" s="389"/>
      <c r="L101" s="1"/>
      <c r="M101" s="1"/>
    </row>
    <row r="102" spans="1:13" s="8" customFormat="1" ht="20.25" customHeight="1">
      <c r="A102" s="86">
        <v>23</v>
      </c>
      <c r="B102" s="432" t="s">
        <v>155</v>
      </c>
      <c r="C102" s="929" t="s">
        <v>928</v>
      </c>
      <c r="D102" s="930"/>
      <c r="E102" s="930"/>
      <c r="F102" s="931"/>
      <c r="G102" s="86" t="s">
        <v>176</v>
      </c>
      <c r="H102" s="87"/>
      <c r="I102" s="87">
        <f>SUM(H103:H103)</f>
        <v>0</v>
      </c>
      <c r="J102" s="467"/>
      <c r="K102" s="389"/>
      <c r="L102" s="1"/>
      <c r="M102" s="1"/>
    </row>
    <row r="103" spans="1:13" s="8" customFormat="1" ht="30" customHeight="1">
      <c r="A103" s="86">
        <v>22</v>
      </c>
      <c r="B103" s="432" t="s">
        <v>157</v>
      </c>
      <c r="C103" s="929" t="s">
        <v>926</v>
      </c>
      <c r="D103" s="930"/>
      <c r="E103" s="930"/>
      <c r="F103" s="931"/>
      <c r="G103" s="86" t="s">
        <v>11</v>
      </c>
      <c r="H103" s="87"/>
      <c r="I103" s="87">
        <f>SUM(H104:H104)</f>
        <v>13</v>
      </c>
      <c r="J103" s="467">
        <v>19.600000000000001</v>
      </c>
      <c r="K103" s="389">
        <f>I103*J103</f>
        <v>254.8</v>
      </c>
      <c r="L103" s="1"/>
    </row>
    <row r="104" spans="1:13" s="8" customFormat="1" ht="45" hidden="1" customHeight="1">
      <c r="A104" s="918"/>
      <c r="B104" s="932"/>
      <c r="C104" s="926" t="s">
        <v>927</v>
      </c>
      <c r="D104" s="927"/>
      <c r="E104" s="927"/>
      <c r="F104" s="928"/>
      <c r="G104" s="922" t="s">
        <v>11</v>
      </c>
      <c r="H104" s="934">
        <f>5+6+2</f>
        <v>13</v>
      </c>
      <c r="I104" s="936" t="s">
        <v>34</v>
      </c>
      <c r="J104" s="467" t="s">
        <v>34</v>
      </c>
      <c r="K104" s="389" t="s">
        <v>34</v>
      </c>
      <c r="M104" s="1"/>
    </row>
    <row r="105" spans="1:13" s="8" customFormat="1" ht="20.25" hidden="1" customHeight="1">
      <c r="A105" s="919"/>
      <c r="B105" s="933"/>
      <c r="C105" s="460" t="s">
        <v>713</v>
      </c>
      <c r="D105" s="461">
        <f>H104</f>
        <v>13</v>
      </c>
      <c r="E105" s="463" t="s">
        <v>11</v>
      </c>
      <c r="F105" s="462" t="s">
        <v>716</v>
      </c>
      <c r="G105" s="923"/>
      <c r="H105" s="935"/>
      <c r="I105" s="937"/>
      <c r="J105" s="467"/>
      <c r="K105" s="389"/>
      <c r="L105" s="1"/>
      <c r="M105" s="1"/>
    </row>
    <row r="106" spans="1:13" s="8" customFormat="1" ht="28.5" customHeight="1">
      <c r="A106" s="86">
        <v>23</v>
      </c>
      <c r="B106" s="432" t="s">
        <v>489</v>
      </c>
      <c r="C106" s="929" t="s">
        <v>777</v>
      </c>
      <c r="D106" s="930"/>
      <c r="E106" s="930"/>
      <c r="F106" s="931"/>
      <c r="G106" s="86" t="s">
        <v>176</v>
      </c>
      <c r="H106" s="87"/>
      <c r="I106" s="87">
        <f>SUM(H107:H107)</f>
        <v>360.66</v>
      </c>
      <c r="J106" s="467">
        <v>36</v>
      </c>
      <c r="K106" s="389">
        <f>I106*J106</f>
        <v>12983.76</v>
      </c>
      <c r="L106" s="1"/>
      <c r="M106" s="1"/>
    </row>
    <row r="107" spans="1:13" s="8" customFormat="1" ht="46.5" hidden="1" customHeight="1">
      <c r="A107" s="918"/>
      <c r="B107" s="932"/>
      <c r="C107" s="926" t="s">
        <v>814</v>
      </c>
      <c r="D107" s="927"/>
      <c r="E107" s="927"/>
      <c r="F107" s="928"/>
      <c r="G107" s="922" t="s">
        <v>177</v>
      </c>
      <c r="H107" s="934">
        <f>340.66+20</f>
        <v>360.66</v>
      </c>
      <c r="I107" s="936" t="s">
        <v>34</v>
      </c>
      <c r="J107" s="536"/>
      <c r="K107" s="536"/>
      <c r="M107" s="1"/>
    </row>
    <row r="108" spans="1:13" s="8" customFormat="1" ht="20.25" hidden="1" customHeight="1">
      <c r="A108" s="919"/>
      <c r="B108" s="933"/>
      <c r="C108" s="460" t="s">
        <v>713</v>
      </c>
      <c r="D108" s="461">
        <f>H107</f>
        <v>360.66</v>
      </c>
      <c r="E108" s="463" t="str">
        <f>G107</f>
        <v>m2</v>
      </c>
      <c r="F108" s="462" t="s">
        <v>718</v>
      </c>
      <c r="G108" s="923"/>
      <c r="H108" s="935"/>
      <c r="I108" s="937"/>
      <c r="J108" s="536"/>
      <c r="K108" s="536"/>
      <c r="L108" s="1"/>
      <c r="M108" s="1"/>
    </row>
    <row r="109" spans="1:13" s="8" customFormat="1" ht="20.25" customHeight="1">
      <c r="A109" s="64" t="s">
        <v>34</v>
      </c>
      <c r="B109" s="64" t="s">
        <v>166</v>
      </c>
      <c r="C109" s="800" t="s">
        <v>720</v>
      </c>
      <c r="D109" s="801"/>
      <c r="E109" s="801"/>
      <c r="F109" s="801"/>
      <c r="G109" s="801"/>
      <c r="H109" s="801"/>
      <c r="I109" s="801"/>
      <c r="J109" s="471"/>
      <c r="K109" s="454"/>
      <c r="L109" s="1"/>
      <c r="M109" s="1"/>
    </row>
    <row r="110" spans="1:13" s="8" customFormat="1" ht="37.5" customHeight="1">
      <c r="A110" s="458">
        <v>24</v>
      </c>
      <c r="B110" s="569" t="s">
        <v>721</v>
      </c>
      <c r="C110" s="938" t="s">
        <v>799</v>
      </c>
      <c r="D110" s="939"/>
      <c r="E110" s="939"/>
      <c r="F110" s="939"/>
      <c r="G110" s="458" t="s">
        <v>176</v>
      </c>
      <c r="H110" s="566"/>
      <c r="I110" s="528" t="e">
        <f>H111</f>
        <v>#REF!</v>
      </c>
      <c r="J110" s="467">
        <v>18</v>
      </c>
      <c r="K110" s="389" t="e">
        <f>I110*J110</f>
        <v>#REF!</v>
      </c>
      <c r="L110" s="1"/>
      <c r="M110" s="1"/>
    </row>
    <row r="111" spans="1:13" s="8" customFormat="1" ht="63.75" hidden="1" customHeight="1">
      <c r="A111" s="940"/>
      <c r="B111" s="942"/>
      <c r="C111" s="944" t="s">
        <v>815</v>
      </c>
      <c r="D111" s="945"/>
      <c r="E111" s="945"/>
      <c r="F111" s="946"/>
      <c r="G111" s="922" t="s">
        <v>177</v>
      </c>
      <c r="H111" s="924" t="e">
        <f>#REF!*1.05+28.5*1.2</f>
        <v>#REF!</v>
      </c>
      <c r="I111" s="936" t="s">
        <v>34</v>
      </c>
      <c r="J111" s="467"/>
      <c r="K111" s="389"/>
      <c r="L111" s="1"/>
      <c r="M111" s="1"/>
    </row>
    <row r="112" spans="1:13" s="8" customFormat="1" ht="20.25" hidden="1" customHeight="1">
      <c r="A112" s="941"/>
      <c r="B112" s="943"/>
      <c r="C112" s="8" t="s">
        <v>713</v>
      </c>
      <c r="D112" s="100" t="e">
        <f>H111</f>
        <v>#REF!</v>
      </c>
      <c r="E112" s="523" t="s">
        <v>177</v>
      </c>
      <c r="F112" s="462" t="s">
        <v>716</v>
      </c>
      <c r="G112" s="923"/>
      <c r="H112" s="925"/>
      <c r="I112" s="937"/>
      <c r="J112" s="467"/>
      <c r="K112" s="389"/>
      <c r="L112" s="1"/>
      <c r="M112" s="1"/>
    </row>
    <row r="113" spans="1:105" s="8" customFormat="1" ht="30.75" customHeight="1">
      <c r="A113" s="458">
        <v>25</v>
      </c>
      <c r="B113" s="569" t="s">
        <v>721</v>
      </c>
      <c r="C113" s="938" t="s">
        <v>821</v>
      </c>
      <c r="D113" s="939"/>
      <c r="E113" s="939"/>
      <c r="F113" s="939"/>
      <c r="G113" s="458" t="s">
        <v>176</v>
      </c>
      <c r="H113" s="566"/>
      <c r="I113" s="528">
        <f>H114</f>
        <v>599.12</v>
      </c>
      <c r="J113" s="467">
        <v>29</v>
      </c>
      <c r="K113" s="389">
        <f>I113*J113</f>
        <v>17374.48</v>
      </c>
      <c r="L113" s="1"/>
      <c r="M113" s="1"/>
    </row>
    <row r="114" spans="1:105" s="8" customFormat="1" ht="48.75" hidden="1" customHeight="1">
      <c r="A114" s="940"/>
      <c r="B114" s="942"/>
      <c r="C114" s="944" t="s">
        <v>801</v>
      </c>
      <c r="D114" s="945"/>
      <c r="E114" s="945"/>
      <c r="F114" s="946"/>
      <c r="G114" s="922" t="s">
        <v>177</v>
      </c>
      <c r="H114" s="924">
        <f>340.66*1.7+20</f>
        <v>599.12</v>
      </c>
      <c r="I114" s="936" t="s">
        <v>34</v>
      </c>
      <c r="J114" s="924" t="s">
        <v>34</v>
      </c>
      <c r="K114" s="924" t="s">
        <v>34</v>
      </c>
      <c r="L114" s="1"/>
      <c r="M114" s="1"/>
    </row>
    <row r="115" spans="1:105" s="8" customFormat="1" ht="16.5" hidden="1" customHeight="1">
      <c r="A115" s="941"/>
      <c r="B115" s="943"/>
      <c r="C115" s="8" t="s">
        <v>713</v>
      </c>
      <c r="D115" s="100">
        <f>H114</f>
        <v>599.12</v>
      </c>
      <c r="E115" s="523" t="s">
        <v>177</v>
      </c>
      <c r="F115" s="462" t="s">
        <v>716</v>
      </c>
      <c r="G115" s="923"/>
      <c r="H115" s="925"/>
      <c r="I115" s="937"/>
      <c r="J115" s="925"/>
      <c r="K115" s="925"/>
      <c r="L115" s="1"/>
      <c r="M115" s="1"/>
      <c r="N115" s="11"/>
    </row>
    <row r="116" spans="1:105" s="8" customFormat="1" ht="20.25" hidden="1" customHeight="1">
      <c r="A116" s="837" t="s">
        <v>663</v>
      </c>
      <c r="B116" s="838"/>
      <c r="C116" s="838"/>
      <c r="D116" s="838"/>
      <c r="E116" s="838"/>
      <c r="F116" s="838"/>
      <c r="G116" s="838"/>
      <c r="H116" s="838"/>
      <c r="I116" s="838"/>
      <c r="J116" s="839"/>
      <c r="K116" s="479" t="e">
        <f>K113+K99+#REF!+#REF!+#REF!+K85</f>
        <v>#REF!</v>
      </c>
      <c r="L116" s="399" t="e">
        <f>K116</f>
        <v>#REF!</v>
      </c>
      <c r="M116" s="1"/>
    </row>
    <row r="117" spans="1:105" s="8" customFormat="1" ht="20.25" customHeight="1">
      <c r="A117" s="64" t="s">
        <v>34</v>
      </c>
      <c r="B117" s="64" t="s">
        <v>739</v>
      </c>
      <c r="C117" s="800" t="s">
        <v>740</v>
      </c>
      <c r="D117" s="801"/>
      <c r="E117" s="801"/>
      <c r="F117" s="801"/>
      <c r="G117" s="801"/>
      <c r="H117" s="801"/>
      <c r="I117" s="801"/>
      <c r="J117" s="801"/>
      <c r="K117" s="802"/>
      <c r="L117" s="101"/>
      <c r="M117" s="1"/>
    </row>
    <row r="118" spans="1:105" s="8" customFormat="1" ht="21" customHeight="1">
      <c r="A118" s="458">
        <v>26</v>
      </c>
      <c r="B118" s="569" t="s">
        <v>739</v>
      </c>
      <c r="C118" s="938" t="s">
        <v>914</v>
      </c>
      <c r="D118" s="939"/>
      <c r="E118" s="939"/>
      <c r="F118" s="939"/>
      <c r="G118" s="458" t="s">
        <v>176</v>
      </c>
      <c r="H118" s="566"/>
      <c r="I118" s="528" t="e">
        <f>H119</f>
        <v>#REF!</v>
      </c>
      <c r="J118" s="467">
        <v>45</v>
      </c>
      <c r="K118" s="389" t="e">
        <f>I118*J118</f>
        <v>#REF!</v>
      </c>
      <c r="L118" s="399"/>
      <c r="M118" s="1"/>
    </row>
    <row r="119" spans="1:105" s="8" customFormat="1" ht="36.75" hidden="1" customHeight="1">
      <c r="A119" s="940"/>
      <c r="B119" s="942"/>
      <c r="C119" s="944" t="s">
        <v>800</v>
      </c>
      <c r="D119" s="945"/>
      <c r="E119" s="945"/>
      <c r="F119" s="946"/>
      <c r="G119" s="922" t="s">
        <v>177</v>
      </c>
      <c r="H119" s="924" t="e">
        <f>H111</f>
        <v>#REF!</v>
      </c>
      <c r="I119" s="936" t="s">
        <v>34</v>
      </c>
      <c r="J119" s="576"/>
      <c r="K119" s="489"/>
      <c r="L119" s="399"/>
      <c r="M119" s="1"/>
    </row>
    <row r="120" spans="1:105" s="8" customFormat="1" ht="18.75" hidden="1" customHeight="1">
      <c r="A120" s="941"/>
      <c r="B120" s="943"/>
      <c r="C120" s="8" t="s">
        <v>713</v>
      </c>
      <c r="D120" s="100" t="e">
        <f>H119</f>
        <v>#REF!</v>
      </c>
      <c r="E120" s="523" t="s">
        <v>177</v>
      </c>
      <c r="F120" s="462" t="s">
        <v>716</v>
      </c>
      <c r="G120" s="923"/>
      <c r="H120" s="925"/>
      <c r="I120" s="937"/>
      <c r="J120" s="475"/>
      <c r="K120" s="456"/>
    </row>
    <row r="121" spans="1:105" ht="15.75">
      <c r="A121" s="837" t="s">
        <v>663</v>
      </c>
      <c r="B121" s="838"/>
      <c r="C121" s="838"/>
      <c r="D121" s="838"/>
      <c r="E121" s="838"/>
      <c r="F121" s="838"/>
      <c r="G121" s="838"/>
      <c r="H121" s="838"/>
      <c r="I121" s="838"/>
      <c r="J121" s="839"/>
      <c r="K121" s="445" t="e">
        <f>K85+K88+K92+K95+K99+K106+K110+K113+K118</f>
        <v>#REF!</v>
      </c>
      <c r="L121" s="3"/>
    </row>
    <row r="122" spans="1:105" s="8" customFormat="1" ht="33" customHeight="1">
      <c r="A122" s="524" t="s">
        <v>61</v>
      </c>
      <c r="B122" s="524" t="s">
        <v>59</v>
      </c>
      <c r="C122" s="947" t="s">
        <v>182</v>
      </c>
      <c r="D122" s="948"/>
      <c r="E122" s="948"/>
      <c r="F122" s="948"/>
      <c r="G122" s="948"/>
      <c r="H122" s="948"/>
      <c r="I122" s="948"/>
      <c r="J122" s="475"/>
      <c r="K122" s="456"/>
    </row>
    <row r="123" spans="1:105" s="16" customFormat="1" ht="25.5" customHeight="1">
      <c r="A123" s="64" t="s">
        <v>34</v>
      </c>
      <c r="B123" s="64" t="s">
        <v>116</v>
      </c>
      <c r="C123" s="736" t="s">
        <v>776</v>
      </c>
      <c r="D123" s="736"/>
      <c r="E123" s="736"/>
      <c r="F123" s="736"/>
      <c r="G123" s="736" t="s">
        <v>8</v>
      </c>
      <c r="H123" s="736"/>
      <c r="I123" s="800"/>
      <c r="J123" s="476"/>
      <c r="K123" s="454"/>
      <c r="L123" s="8"/>
      <c r="M123" s="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</row>
    <row r="124" spans="1:105" s="204" customFormat="1" ht="29.25" customHeight="1">
      <c r="A124" s="86">
        <v>27</v>
      </c>
      <c r="B124" s="432" t="s">
        <v>116</v>
      </c>
      <c r="C124" s="794" t="s">
        <v>820</v>
      </c>
      <c r="D124" s="795"/>
      <c r="E124" s="795"/>
      <c r="F124" s="796"/>
      <c r="G124" s="86" t="s">
        <v>176</v>
      </c>
      <c r="H124" s="87"/>
      <c r="I124" s="77" t="e">
        <f>SUM(H125:H125)</f>
        <v>#REF!</v>
      </c>
      <c r="J124" s="467">
        <v>328</v>
      </c>
      <c r="K124" s="389" t="e">
        <f>I124*J124</f>
        <v>#REF!</v>
      </c>
      <c r="M124" s="58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</row>
    <row r="125" spans="1:105" s="204" customFormat="1" ht="29.25" hidden="1" customHeight="1">
      <c r="A125" s="922"/>
      <c r="B125" s="932"/>
      <c r="C125" s="926" t="s">
        <v>778</v>
      </c>
      <c r="D125" s="927"/>
      <c r="E125" s="927"/>
      <c r="F125" s="928"/>
      <c r="G125" s="922" t="s">
        <v>177</v>
      </c>
      <c r="H125" s="924" t="e">
        <f>#REF!</f>
        <v>#REF!</v>
      </c>
      <c r="I125" s="924" t="s">
        <v>34</v>
      </c>
      <c r="J125" s="924" t="s">
        <v>34</v>
      </c>
      <c r="K125" s="924" t="s">
        <v>34</v>
      </c>
      <c r="L125" s="8"/>
      <c r="M125" s="320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</row>
    <row r="126" spans="1:105" s="204" customFormat="1" ht="20.25" hidden="1" customHeight="1">
      <c r="A126" s="923"/>
      <c r="B126" s="933"/>
      <c r="C126" s="460" t="s">
        <v>713</v>
      </c>
      <c r="D126" s="461" t="e">
        <f>H125</f>
        <v>#REF!</v>
      </c>
      <c r="E126" s="463" t="str">
        <f>G125</f>
        <v>m2</v>
      </c>
      <c r="F126" s="462" t="s">
        <v>716</v>
      </c>
      <c r="G126" s="923"/>
      <c r="H126" s="925"/>
      <c r="I126" s="925"/>
      <c r="J126" s="925"/>
      <c r="K126" s="925"/>
      <c r="L126" s="8"/>
      <c r="M126" s="320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</row>
    <row r="127" spans="1:105" s="204" customFormat="1" ht="20.25" customHeight="1">
      <c r="A127" s="64" t="s">
        <v>34</v>
      </c>
      <c r="B127" s="64" t="s">
        <v>845</v>
      </c>
      <c r="C127" s="800" t="s">
        <v>847</v>
      </c>
      <c r="D127" s="801"/>
      <c r="E127" s="801"/>
      <c r="F127" s="801"/>
      <c r="G127" s="801"/>
      <c r="H127" s="801"/>
      <c r="I127" s="801"/>
      <c r="J127" s="801"/>
      <c r="K127" s="802"/>
      <c r="L127" s="8"/>
      <c r="M127" s="320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</row>
    <row r="128" spans="1:105" s="204" customFormat="1" ht="36" customHeight="1">
      <c r="A128" s="458">
        <v>28</v>
      </c>
      <c r="B128" s="564" t="s">
        <v>846</v>
      </c>
      <c r="C128" s="794" t="s">
        <v>850</v>
      </c>
      <c r="D128" s="795"/>
      <c r="E128" s="795"/>
      <c r="F128" s="796"/>
      <c r="G128" s="86" t="s">
        <v>176</v>
      </c>
      <c r="H128" s="87"/>
      <c r="I128" s="77">
        <f>SUM(H129:H129)</f>
        <v>28</v>
      </c>
      <c r="J128" s="467">
        <v>12.6</v>
      </c>
      <c r="K128" s="389">
        <f>I128*J128</f>
        <v>352.8</v>
      </c>
      <c r="L128" s="8"/>
      <c r="M128" s="320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</row>
    <row r="129" spans="1:105" s="204" customFormat="1" ht="63" hidden="1" customHeight="1">
      <c r="A129" s="922"/>
      <c r="B129" s="932"/>
      <c r="C129" s="926" t="s">
        <v>842</v>
      </c>
      <c r="D129" s="927"/>
      <c r="E129" s="927"/>
      <c r="F129" s="928"/>
      <c r="G129" s="922" t="s">
        <v>177</v>
      </c>
      <c r="H129" s="924">
        <v>28</v>
      </c>
      <c r="I129" s="924" t="s">
        <v>34</v>
      </c>
      <c r="J129" s="536"/>
      <c r="K129" s="536"/>
      <c r="L129" s="8"/>
      <c r="M129" s="320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</row>
    <row r="130" spans="1:105" s="204" customFormat="1" ht="30" hidden="1" customHeight="1">
      <c r="A130" s="923"/>
      <c r="B130" s="933"/>
      <c r="C130" s="460" t="s">
        <v>713</v>
      </c>
      <c r="D130" s="461">
        <f>H129</f>
        <v>28</v>
      </c>
      <c r="E130" s="463" t="str">
        <f>G129</f>
        <v>m2</v>
      </c>
      <c r="F130" s="462" t="s">
        <v>811</v>
      </c>
      <c r="G130" s="923"/>
      <c r="H130" s="925"/>
      <c r="I130" s="925"/>
      <c r="J130" s="536"/>
      <c r="K130" s="536"/>
      <c r="L130" s="8"/>
      <c r="M130" s="320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</row>
    <row r="131" spans="1:105" s="204" customFormat="1" ht="34.5" customHeight="1">
      <c r="A131" s="64" t="s">
        <v>34</v>
      </c>
      <c r="B131" s="64" t="s">
        <v>848</v>
      </c>
      <c r="C131" s="800" t="s">
        <v>849</v>
      </c>
      <c r="D131" s="801"/>
      <c r="E131" s="801"/>
      <c r="F131" s="801"/>
      <c r="G131" s="801"/>
      <c r="H131" s="801"/>
      <c r="I131" s="801"/>
      <c r="J131" s="801"/>
      <c r="K131" s="802"/>
      <c r="L131" s="8"/>
      <c r="M131" s="320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</row>
    <row r="132" spans="1:105" s="204" customFormat="1" ht="20.25" customHeight="1">
      <c r="A132" s="458">
        <v>29</v>
      </c>
      <c r="B132" s="564" t="s">
        <v>846</v>
      </c>
      <c r="C132" s="794" t="s">
        <v>844</v>
      </c>
      <c r="D132" s="795"/>
      <c r="E132" s="795"/>
      <c r="F132" s="796"/>
      <c r="G132" s="86" t="s">
        <v>176</v>
      </c>
      <c r="H132" s="87"/>
      <c r="I132" s="77">
        <f>SUM(H133:H133)</f>
        <v>28</v>
      </c>
      <c r="J132" s="467">
        <v>38</v>
      </c>
      <c r="K132" s="389">
        <f>I132*J132</f>
        <v>1064</v>
      </c>
      <c r="L132" s="8"/>
      <c r="M132" s="320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</row>
    <row r="133" spans="1:105" s="204" customFormat="1" ht="47.25" hidden="1" customHeight="1">
      <c r="A133" s="922"/>
      <c r="B133" s="932"/>
      <c r="C133" s="926" t="s">
        <v>843</v>
      </c>
      <c r="D133" s="927"/>
      <c r="E133" s="927"/>
      <c r="F133" s="928"/>
      <c r="G133" s="922" t="s">
        <v>177</v>
      </c>
      <c r="H133" s="924">
        <v>28</v>
      </c>
      <c r="I133" s="924" t="s">
        <v>34</v>
      </c>
      <c r="J133" s="467"/>
      <c r="K133" s="389"/>
      <c r="L133" s="8"/>
      <c r="M133" s="320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</row>
    <row r="134" spans="1:105" s="204" customFormat="1" ht="20.25" hidden="1" customHeight="1">
      <c r="A134" s="923"/>
      <c r="B134" s="933"/>
      <c r="C134" s="460" t="s">
        <v>713</v>
      </c>
      <c r="D134" s="461">
        <f>H133</f>
        <v>28</v>
      </c>
      <c r="E134" s="463" t="str">
        <f>G133</f>
        <v>m2</v>
      </c>
      <c r="F134" s="462" t="s">
        <v>811</v>
      </c>
      <c r="G134" s="923"/>
      <c r="H134" s="925"/>
      <c r="I134" s="925"/>
      <c r="J134" s="467"/>
      <c r="K134" s="389"/>
      <c r="L134" s="8"/>
      <c r="M134" s="320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</row>
    <row r="135" spans="1:105" s="204" customFormat="1" ht="20.25" customHeight="1">
      <c r="A135" s="458">
        <v>30</v>
      </c>
      <c r="B135" s="564" t="s">
        <v>851</v>
      </c>
      <c r="C135" s="794" t="s">
        <v>852</v>
      </c>
      <c r="D135" s="795"/>
      <c r="E135" s="795"/>
      <c r="F135" s="796"/>
      <c r="G135" s="86" t="s">
        <v>176</v>
      </c>
      <c r="H135" s="87"/>
      <c r="I135" s="77">
        <f>SUM(H136:H136)</f>
        <v>13.5</v>
      </c>
      <c r="J135" s="467">
        <v>58</v>
      </c>
      <c r="K135" s="389">
        <f>I135*J135</f>
        <v>783</v>
      </c>
      <c r="L135" s="8"/>
      <c r="M135" s="320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</row>
    <row r="136" spans="1:105" s="204" customFormat="1" ht="45.75" hidden="1" customHeight="1">
      <c r="A136" s="922"/>
      <c r="B136" s="932"/>
      <c r="C136" s="926" t="s">
        <v>853</v>
      </c>
      <c r="D136" s="927"/>
      <c r="E136" s="927"/>
      <c r="F136" s="928"/>
      <c r="G136" s="922" t="s">
        <v>177</v>
      </c>
      <c r="H136" s="924">
        <v>13.5</v>
      </c>
      <c r="I136" s="924" t="s">
        <v>34</v>
      </c>
      <c r="J136" s="536"/>
      <c r="K136" s="536"/>
      <c r="L136" s="8"/>
      <c r="M136" s="320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</row>
    <row r="137" spans="1:105" s="204" customFormat="1" ht="20.25" hidden="1" customHeight="1">
      <c r="A137" s="923"/>
      <c r="B137" s="933"/>
      <c r="C137" s="460" t="s">
        <v>713</v>
      </c>
      <c r="D137" s="461">
        <f>H136</f>
        <v>13.5</v>
      </c>
      <c r="E137" s="463" t="str">
        <f>G136</f>
        <v>m2</v>
      </c>
      <c r="F137" s="462" t="s">
        <v>811</v>
      </c>
      <c r="G137" s="923"/>
      <c r="H137" s="925"/>
      <c r="I137" s="925"/>
      <c r="J137" s="536"/>
      <c r="K137" s="536"/>
      <c r="L137" s="8"/>
      <c r="M137" s="320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</row>
    <row r="138" spans="1:105" s="204" customFormat="1" ht="28.5" customHeight="1">
      <c r="A138" s="64" t="s">
        <v>34</v>
      </c>
      <c r="B138" s="64" t="s">
        <v>21</v>
      </c>
      <c r="C138" s="800" t="s">
        <v>22</v>
      </c>
      <c r="D138" s="801"/>
      <c r="E138" s="801"/>
      <c r="F138" s="801"/>
      <c r="G138" s="801"/>
      <c r="H138" s="801"/>
      <c r="I138" s="801"/>
      <c r="J138" s="801"/>
      <c r="K138" s="802"/>
      <c r="L138" s="8"/>
      <c r="M138" s="320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</row>
    <row r="139" spans="1:105" s="204" customFormat="1" ht="30.75" customHeight="1">
      <c r="A139" s="86">
        <v>31</v>
      </c>
      <c r="B139" s="564" t="s">
        <v>816</v>
      </c>
      <c r="C139" s="794" t="s">
        <v>819</v>
      </c>
      <c r="D139" s="795"/>
      <c r="E139" s="795"/>
      <c r="F139" s="796"/>
      <c r="G139" s="86" t="s">
        <v>176</v>
      </c>
      <c r="H139" s="87"/>
      <c r="I139" s="77">
        <f>SUM(H140:H140)</f>
        <v>216.44</v>
      </c>
      <c r="J139" s="467">
        <v>46</v>
      </c>
      <c r="K139" s="389">
        <f>I139*J139</f>
        <v>9956.24</v>
      </c>
      <c r="L139" s="8"/>
      <c r="M139" s="320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</row>
    <row r="140" spans="1:105" s="204" customFormat="1" ht="36.75" hidden="1" customHeight="1">
      <c r="A140" s="922"/>
      <c r="B140" s="932"/>
      <c r="C140" s="926" t="s">
        <v>818</v>
      </c>
      <c r="D140" s="927"/>
      <c r="E140" s="927"/>
      <c r="F140" s="928"/>
      <c r="G140" s="922" t="s">
        <v>177</v>
      </c>
      <c r="H140" s="924">
        <f>357.29*1.02-0.2*740</f>
        <v>216.44</v>
      </c>
      <c r="I140" s="924" t="s">
        <v>34</v>
      </c>
      <c r="J140" s="467"/>
      <c r="K140" s="389"/>
      <c r="L140" s="8"/>
      <c r="M140" s="320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</row>
    <row r="141" spans="1:105" s="204" customFormat="1" ht="20.25" hidden="1" customHeight="1">
      <c r="A141" s="923"/>
      <c r="B141" s="933"/>
      <c r="C141" s="460" t="s">
        <v>713</v>
      </c>
      <c r="D141" s="461">
        <f>H140</f>
        <v>216.44</v>
      </c>
      <c r="E141" s="463" t="str">
        <f>G140</f>
        <v>m2</v>
      </c>
      <c r="F141" s="462" t="s">
        <v>716</v>
      </c>
      <c r="G141" s="923"/>
      <c r="H141" s="925"/>
      <c r="I141" s="925"/>
      <c r="J141" s="467"/>
      <c r="K141" s="389"/>
      <c r="L141" s="8"/>
      <c r="M141" s="320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</row>
    <row r="142" spans="1:105" s="204" customFormat="1" ht="30.75" customHeight="1">
      <c r="A142" s="86">
        <v>32</v>
      </c>
      <c r="B142" s="564" t="s">
        <v>220</v>
      </c>
      <c r="C142" s="794" t="s">
        <v>822</v>
      </c>
      <c r="D142" s="795"/>
      <c r="E142" s="795"/>
      <c r="F142" s="796"/>
      <c r="G142" s="86" t="s">
        <v>176</v>
      </c>
      <c r="H142" s="87"/>
      <c r="I142" s="77">
        <f>SUM(H143:H143)</f>
        <v>454.84</v>
      </c>
      <c r="J142" s="467">
        <v>27</v>
      </c>
      <c r="K142" s="389">
        <f>I142*J142</f>
        <v>12280.68</v>
      </c>
      <c r="L142" s="8"/>
      <c r="M142" s="320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</row>
    <row r="143" spans="1:105" s="204" customFormat="1" ht="31.5" hidden="1" customHeight="1">
      <c r="A143" s="922"/>
      <c r="B143" s="932"/>
      <c r="C143" s="926" t="s">
        <v>817</v>
      </c>
      <c r="D143" s="927"/>
      <c r="E143" s="927"/>
      <c r="F143" s="928"/>
      <c r="G143" s="922" t="s">
        <v>177</v>
      </c>
      <c r="H143" s="924">
        <f>H140+238.4</f>
        <v>454.84</v>
      </c>
      <c r="I143" s="924" t="s">
        <v>34</v>
      </c>
      <c r="J143" s="467"/>
      <c r="K143" s="389"/>
      <c r="L143" s="8"/>
      <c r="M143" s="320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</row>
    <row r="144" spans="1:105" s="204" customFormat="1" ht="20.25" hidden="1" customHeight="1">
      <c r="A144" s="923"/>
      <c r="B144" s="933"/>
      <c r="C144" s="460" t="s">
        <v>713</v>
      </c>
      <c r="D144" s="461">
        <f>H143</f>
        <v>454.84</v>
      </c>
      <c r="E144" s="463" t="str">
        <f>G143</f>
        <v>m2</v>
      </c>
      <c r="F144" s="462" t="s">
        <v>716</v>
      </c>
      <c r="G144" s="923"/>
      <c r="H144" s="925"/>
      <c r="I144" s="925"/>
      <c r="J144" s="467"/>
      <c r="K144" s="389"/>
      <c r="L144" s="8"/>
      <c r="M144" s="320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</row>
    <row r="145" spans="1:105" s="204" customFormat="1" ht="29.25" customHeight="1">
      <c r="A145" s="86">
        <v>33</v>
      </c>
      <c r="B145" s="431" t="s">
        <v>220</v>
      </c>
      <c r="C145" s="794" t="s">
        <v>216</v>
      </c>
      <c r="D145" s="795"/>
      <c r="E145" s="795"/>
      <c r="F145" s="796"/>
      <c r="G145" s="86" t="s">
        <v>176</v>
      </c>
      <c r="H145" s="87"/>
      <c r="I145" s="77" t="e">
        <f>SUM(H146:H146)</f>
        <v>#REF!</v>
      </c>
      <c r="J145" s="467">
        <v>33</v>
      </c>
      <c r="K145" s="389" t="e">
        <f>I145*J145</f>
        <v>#REF!</v>
      </c>
      <c r="L145" s="8"/>
      <c r="M145" s="58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</row>
    <row r="146" spans="1:105" s="204" customFormat="1" ht="35.25" hidden="1" customHeight="1">
      <c r="A146" s="922"/>
      <c r="B146" s="932"/>
      <c r="C146" s="926" t="s">
        <v>823</v>
      </c>
      <c r="D146" s="927"/>
      <c r="E146" s="927"/>
      <c r="F146" s="928"/>
      <c r="G146" s="922" t="s">
        <v>177</v>
      </c>
      <c r="H146" s="924" t="e">
        <f>#REF!</f>
        <v>#REF!</v>
      </c>
      <c r="I146" s="924" t="s">
        <v>34</v>
      </c>
      <c r="J146" s="924" t="s">
        <v>34</v>
      </c>
      <c r="K146" s="924" t="s">
        <v>34</v>
      </c>
      <c r="L146" s="8"/>
      <c r="M146" s="1"/>
      <c r="N146" s="58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</row>
    <row r="147" spans="1:105" s="204" customFormat="1" ht="20.25" hidden="1" customHeight="1">
      <c r="A147" s="923"/>
      <c r="B147" s="933"/>
      <c r="C147" s="460" t="s">
        <v>713</v>
      </c>
      <c r="D147" s="461" t="e">
        <f>H146</f>
        <v>#REF!</v>
      </c>
      <c r="E147" s="463" t="str">
        <f>G146</f>
        <v>m2</v>
      </c>
      <c r="F147" s="462" t="s">
        <v>811</v>
      </c>
      <c r="G147" s="923"/>
      <c r="H147" s="925"/>
      <c r="I147" s="925"/>
      <c r="J147" s="925"/>
      <c r="K147" s="925"/>
      <c r="L147" s="8"/>
      <c r="M147" s="1"/>
      <c r="N147" s="58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</row>
    <row r="148" spans="1:105" s="204" customFormat="1" ht="20.25" hidden="1" customHeight="1">
      <c r="A148" s="64" t="s">
        <v>34</v>
      </c>
      <c r="B148" s="571" t="s">
        <v>331</v>
      </c>
      <c r="C148" s="736" t="s">
        <v>332</v>
      </c>
      <c r="D148" s="736"/>
      <c r="E148" s="736"/>
      <c r="F148" s="736"/>
      <c r="G148" s="736" t="s">
        <v>8</v>
      </c>
      <c r="H148" s="736"/>
      <c r="I148" s="800"/>
      <c r="J148" s="476"/>
      <c r="K148" s="454"/>
      <c r="L148" s="8"/>
      <c r="M148" s="1"/>
      <c r="N148" s="58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</row>
    <row r="149" spans="1:105" s="204" customFormat="1" ht="20.25" customHeight="1">
      <c r="A149" s="64"/>
      <c r="B149" s="571"/>
      <c r="C149" s="615"/>
      <c r="D149" s="616"/>
      <c r="E149" s="616"/>
      <c r="F149" s="617"/>
      <c r="G149" s="613"/>
      <c r="H149" s="613"/>
      <c r="I149" s="615"/>
      <c r="J149" s="476"/>
      <c r="K149" s="454"/>
      <c r="L149" s="8"/>
      <c r="M149" s="1"/>
      <c r="N149" s="58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</row>
    <row r="150" spans="1:105" s="204" customFormat="1" ht="20.25" customHeight="1">
      <c r="A150" s="64"/>
      <c r="B150" s="571"/>
      <c r="C150" s="615"/>
      <c r="D150" s="616"/>
      <c r="E150" s="616"/>
      <c r="F150" s="617"/>
      <c r="G150" s="613"/>
      <c r="H150" s="613"/>
      <c r="I150" s="615"/>
      <c r="J150" s="476"/>
      <c r="K150" s="454"/>
      <c r="L150" s="8"/>
      <c r="M150" s="1"/>
      <c r="N150" s="58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</row>
    <row r="151" spans="1:105" s="204" customFormat="1" ht="20.25" customHeight="1">
      <c r="A151" s="64"/>
      <c r="B151" s="571"/>
      <c r="C151" s="615"/>
      <c r="D151" s="616"/>
      <c r="E151" s="616"/>
      <c r="F151" s="617"/>
      <c r="G151" s="613"/>
      <c r="H151" s="613"/>
      <c r="I151" s="615"/>
      <c r="J151" s="476"/>
      <c r="K151" s="454"/>
      <c r="L151" s="8"/>
      <c r="M151" s="1"/>
      <c r="N151" s="58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</row>
    <row r="152" spans="1:105" s="204" customFormat="1" ht="20.25" customHeight="1">
      <c r="A152" s="458">
        <v>34</v>
      </c>
      <c r="B152" s="564" t="s">
        <v>827</v>
      </c>
      <c r="C152" s="794" t="s">
        <v>719</v>
      </c>
      <c r="D152" s="795"/>
      <c r="E152" s="795"/>
      <c r="F152" s="796"/>
      <c r="G152" s="86" t="s">
        <v>176</v>
      </c>
      <c r="H152" s="87"/>
      <c r="I152" s="77">
        <f>SUM(H153:H153)</f>
        <v>237</v>
      </c>
      <c r="J152" s="467">
        <v>18</v>
      </c>
      <c r="K152" s="389">
        <f>I152*J152</f>
        <v>4266</v>
      </c>
      <c r="L152" s="8"/>
      <c r="M152" s="1"/>
      <c r="N152" s="58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</row>
    <row r="153" spans="1:105" s="466" customFormat="1" ht="60" hidden="1" customHeight="1">
      <c r="A153" s="922"/>
      <c r="B153" s="932"/>
      <c r="C153" s="926" t="s">
        <v>824</v>
      </c>
      <c r="D153" s="927"/>
      <c r="E153" s="927"/>
      <c r="F153" s="928"/>
      <c r="G153" s="922" t="s">
        <v>177</v>
      </c>
      <c r="H153" s="924">
        <f>0.3*740+15</f>
        <v>237</v>
      </c>
      <c r="I153" s="924" t="s">
        <v>34</v>
      </c>
      <c r="J153" s="949"/>
      <c r="K153" s="859"/>
      <c r="L153" s="440"/>
      <c r="M153" s="399"/>
      <c r="N153" s="464"/>
      <c r="O153" s="465"/>
      <c r="P153" s="465"/>
      <c r="Q153" s="465"/>
      <c r="R153" s="465"/>
      <c r="S153" s="465"/>
      <c r="T153" s="465"/>
      <c r="U153" s="465"/>
      <c r="V153" s="465"/>
      <c r="W153" s="465"/>
      <c r="X153" s="465"/>
      <c r="Y153" s="465"/>
      <c r="Z153" s="465"/>
      <c r="AA153" s="465"/>
      <c r="AB153" s="465"/>
      <c r="AC153" s="465"/>
      <c r="AD153" s="465"/>
      <c r="AE153" s="465"/>
      <c r="AF153" s="465"/>
      <c r="AG153" s="465"/>
      <c r="AH153" s="465"/>
      <c r="AI153" s="465"/>
      <c r="AJ153" s="465"/>
      <c r="AK153" s="465"/>
      <c r="AL153" s="465"/>
      <c r="AM153" s="465"/>
      <c r="AN153" s="465"/>
      <c r="AO153" s="465"/>
      <c r="AP153" s="465"/>
      <c r="AQ153" s="465"/>
      <c r="AR153" s="465"/>
      <c r="AS153" s="465"/>
      <c r="AT153" s="465"/>
      <c r="AU153" s="465"/>
      <c r="AV153" s="465"/>
      <c r="AW153" s="465"/>
      <c r="AX153" s="465"/>
      <c r="AY153" s="465"/>
      <c r="AZ153" s="465"/>
      <c r="BA153" s="465"/>
      <c r="BB153" s="465"/>
      <c r="BC153" s="465"/>
      <c r="BD153" s="465"/>
      <c r="BE153" s="465"/>
      <c r="BF153" s="465"/>
      <c r="BG153" s="465"/>
      <c r="BH153" s="465"/>
      <c r="BI153" s="465"/>
      <c r="BJ153" s="465"/>
      <c r="BK153" s="465"/>
      <c r="BL153" s="465"/>
      <c r="BM153" s="465"/>
      <c r="BN153" s="465"/>
      <c r="BO153" s="465"/>
      <c r="BP153" s="465"/>
      <c r="BQ153" s="465"/>
      <c r="BR153" s="465"/>
      <c r="BS153" s="465"/>
      <c r="BT153" s="465"/>
      <c r="BU153" s="465"/>
      <c r="BV153" s="465"/>
      <c r="BW153" s="465"/>
      <c r="BX153" s="465"/>
      <c r="BY153" s="465"/>
      <c r="BZ153" s="465"/>
      <c r="CA153" s="465"/>
      <c r="CB153" s="465"/>
      <c r="CC153" s="465"/>
      <c r="CD153" s="465"/>
      <c r="CE153" s="465"/>
      <c r="CF153" s="465"/>
      <c r="CG153" s="465"/>
      <c r="CH153" s="465"/>
      <c r="CI153" s="465"/>
      <c r="CJ153" s="465"/>
      <c r="CK153" s="465"/>
      <c r="CL153" s="465"/>
      <c r="CM153" s="465"/>
      <c r="CN153" s="465"/>
      <c r="CO153" s="465"/>
      <c r="CP153" s="465"/>
      <c r="CQ153" s="465"/>
      <c r="CR153" s="465"/>
      <c r="CS153" s="465"/>
      <c r="CT153" s="465"/>
      <c r="CU153" s="465"/>
      <c r="CV153" s="465"/>
      <c r="CW153" s="465"/>
      <c r="CX153" s="465"/>
      <c r="CY153" s="465"/>
      <c r="CZ153" s="465"/>
      <c r="DA153" s="465"/>
    </row>
    <row r="154" spans="1:105" s="204" customFormat="1" ht="20.25" hidden="1" customHeight="1">
      <c r="A154" s="923"/>
      <c r="B154" s="933"/>
      <c r="C154" s="460" t="s">
        <v>713</v>
      </c>
      <c r="D154" s="461">
        <f>H153</f>
        <v>237</v>
      </c>
      <c r="E154" s="463" t="str">
        <f>G153</f>
        <v>m2</v>
      </c>
      <c r="F154" s="462" t="s">
        <v>716</v>
      </c>
      <c r="G154" s="923"/>
      <c r="H154" s="925"/>
      <c r="I154" s="925"/>
      <c r="J154" s="950"/>
      <c r="K154" s="860"/>
      <c r="L154" s="8"/>
      <c r="M154" s="1"/>
      <c r="N154" s="58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</row>
    <row r="155" spans="1:105" s="204" customFormat="1" ht="20.25" customHeight="1">
      <c r="A155" s="64" t="s">
        <v>34</v>
      </c>
      <c r="B155" s="64" t="s">
        <v>335</v>
      </c>
      <c r="C155" s="800" t="s">
        <v>828</v>
      </c>
      <c r="D155" s="801"/>
      <c r="E155" s="801"/>
      <c r="F155" s="801"/>
      <c r="G155" s="801"/>
      <c r="H155" s="801"/>
      <c r="I155" s="801"/>
      <c r="J155" s="801"/>
      <c r="K155" s="802"/>
      <c r="L155" s="8"/>
      <c r="M155" s="1"/>
      <c r="N155" s="58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</row>
    <row r="156" spans="1:105" s="204" customFormat="1" ht="29.25" customHeight="1">
      <c r="A156" s="458">
        <v>35</v>
      </c>
      <c r="B156" s="564" t="s">
        <v>337</v>
      </c>
      <c r="C156" s="803" t="s">
        <v>829</v>
      </c>
      <c r="D156" s="804"/>
      <c r="E156" s="804"/>
      <c r="F156" s="805"/>
      <c r="G156" s="86" t="s">
        <v>176</v>
      </c>
      <c r="H156" s="87"/>
      <c r="I156" s="77">
        <f>SUM(H157:H157)</f>
        <v>740</v>
      </c>
      <c r="J156" s="467">
        <v>12</v>
      </c>
      <c r="K156" s="389">
        <f>I156*J156</f>
        <v>8880</v>
      </c>
      <c r="L156" s="8"/>
      <c r="M156" s="1"/>
      <c r="N156" s="58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</row>
    <row r="157" spans="1:105" s="204" customFormat="1" ht="42" hidden="1" customHeight="1">
      <c r="A157" s="940"/>
      <c r="B157" s="954"/>
      <c r="C157" s="926" t="s">
        <v>830</v>
      </c>
      <c r="D157" s="927"/>
      <c r="E157" s="927"/>
      <c r="F157" s="928"/>
      <c r="G157" s="922" t="s">
        <v>177</v>
      </c>
      <c r="H157" s="924">
        <v>740</v>
      </c>
      <c r="I157" s="924" t="s">
        <v>34</v>
      </c>
      <c r="J157" s="535"/>
      <c r="K157" s="544"/>
      <c r="L157" s="8"/>
      <c r="M157" s="1"/>
      <c r="N157" s="58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</row>
    <row r="158" spans="1:105" s="204" customFormat="1" ht="24" hidden="1" customHeight="1">
      <c r="A158" s="941"/>
      <c r="B158" s="955"/>
      <c r="C158" s="460" t="s">
        <v>713</v>
      </c>
      <c r="D158" s="461">
        <f>H157</f>
        <v>740</v>
      </c>
      <c r="E158" s="463" t="str">
        <f>G157</f>
        <v>m2</v>
      </c>
      <c r="F158" s="462" t="s">
        <v>716</v>
      </c>
      <c r="G158" s="923"/>
      <c r="H158" s="925"/>
      <c r="I158" s="925"/>
      <c r="J158" s="535"/>
      <c r="K158" s="544"/>
      <c r="L158" s="8"/>
      <c r="M158" s="1"/>
      <c r="N158" s="58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</row>
    <row r="159" spans="1:105" s="204" customFormat="1" ht="20.25" hidden="1" customHeight="1">
      <c r="A159" s="837" t="s">
        <v>664</v>
      </c>
      <c r="B159" s="838"/>
      <c r="C159" s="838"/>
      <c r="D159" s="838"/>
      <c r="E159" s="838"/>
      <c r="F159" s="838"/>
      <c r="G159" s="838"/>
      <c r="H159" s="838"/>
      <c r="I159" s="838"/>
      <c r="J159" s="839"/>
      <c r="K159" s="479" t="e">
        <f>K152+K145+K124</f>
        <v>#REF!</v>
      </c>
      <c r="L159" s="399" t="e">
        <f>K159</f>
        <v>#REF!</v>
      </c>
      <c r="M159" s="399"/>
      <c r="N159" s="58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</row>
    <row r="160" spans="1:105" s="204" customFormat="1" ht="20.25" hidden="1" customHeight="1">
      <c r="A160" s="575"/>
      <c r="B160" s="576"/>
      <c r="C160" s="576"/>
      <c r="D160" s="576"/>
      <c r="E160" s="576"/>
      <c r="F160" s="576"/>
      <c r="G160" s="576"/>
      <c r="H160" s="576"/>
      <c r="I160" s="576"/>
      <c r="J160" s="576"/>
      <c r="K160" s="489"/>
      <c r="L160" s="399"/>
      <c r="M160" s="399"/>
      <c r="N160" s="58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</row>
    <row r="161" spans="1:105" s="204" customFormat="1" ht="60" hidden="1" customHeight="1">
      <c r="A161" s="922"/>
      <c r="B161" s="932"/>
      <c r="C161" s="926" t="s">
        <v>842</v>
      </c>
      <c r="D161" s="927"/>
      <c r="E161" s="927"/>
      <c r="F161" s="928"/>
      <c r="G161" s="922" t="s">
        <v>177</v>
      </c>
      <c r="H161" s="924">
        <v>28</v>
      </c>
      <c r="I161" s="924" t="s">
        <v>34</v>
      </c>
      <c r="J161" s="576"/>
      <c r="K161" s="489"/>
      <c r="L161" s="399"/>
      <c r="M161" s="399"/>
      <c r="N161" s="58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</row>
    <row r="162" spans="1:105" s="204" customFormat="1" ht="20.25" hidden="1" customHeight="1">
      <c r="A162" s="923"/>
      <c r="B162" s="933"/>
      <c r="C162" s="460" t="s">
        <v>929</v>
      </c>
      <c r="D162" s="461">
        <f>H161</f>
        <v>28</v>
      </c>
      <c r="E162" s="463" t="str">
        <f>G161</f>
        <v>m2</v>
      </c>
      <c r="F162" s="462" t="s">
        <v>811</v>
      </c>
      <c r="G162" s="923"/>
      <c r="H162" s="925"/>
      <c r="I162" s="925"/>
      <c r="J162" s="576"/>
      <c r="K162" s="489"/>
      <c r="L162" s="399"/>
      <c r="M162" s="399"/>
      <c r="N162" s="58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</row>
    <row r="163" spans="1:105" ht="15.75">
      <c r="A163" s="837" t="s">
        <v>664</v>
      </c>
      <c r="B163" s="838"/>
      <c r="C163" s="838"/>
      <c r="D163" s="838"/>
      <c r="E163" s="838"/>
      <c r="F163" s="838"/>
      <c r="G163" s="838"/>
      <c r="H163" s="838"/>
      <c r="I163" s="838"/>
      <c r="J163" s="839"/>
      <c r="K163" s="445" t="e">
        <f>K124+K128+K132+K135+K139+K142+K145+K152+K14</f>
        <v>#REF!</v>
      </c>
      <c r="L163" s="3"/>
    </row>
    <row r="164" spans="1:105" s="41" customFormat="1" ht="25.5">
      <c r="A164" s="21" t="s">
        <v>63</v>
      </c>
      <c r="B164" s="448" t="s">
        <v>60</v>
      </c>
      <c r="C164" s="737" t="s">
        <v>183</v>
      </c>
      <c r="D164" s="737"/>
      <c r="E164" s="737"/>
      <c r="F164" s="737"/>
      <c r="G164" s="737" t="s">
        <v>8</v>
      </c>
      <c r="H164" s="737"/>
      <c r="I164" s="797"/>
      <c r="J164" s="477"/>
      <c r="K164" s="457"/>
      <c r="L164" s="14"/>
      <c r="M164" s="58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</row>
    <row r="165" spans="1:105" s="8" customFormat="1" ht="19.5" customHeight="1">
      <c r="A165" s="64" t="s">
        <v>34</v>
      </c>
      <c r="B165" s="571" t="s">
        <v>23</v>
      </c>
      <c r="C165" s="736" t="s">
        <v>930</v>
      </c>
      <c r="D165" s="736"/>
      <c r="E165" s="736"/>
      <c r="F165" s="736"/>
      <c r="G165" s="736" t="s">
        <v>8</v>
      </c>
      <c r="H165" s="736"/>
      <c r="I165" s="800"/>
      <c r="J165" s="478"/>
      <c r="K165" s="454"/>
      <c r="L165" s="40"/>
      <c r="M165" s="59"/>
    </row>
    <row r="166" spans="1:105" s="11" customFormat="1" ht="20.25" customHeight="1">
      <c r="A166" s="86">
        <v>36</v>
      </c>
      <c r="B166" s="432" t="s">
        <v>0</v>
      </c>
      <c r="C166" s="794" t="s">
        <v>74</v>
      </c>
      <c r="D166" s="795"/>
      <c r="E166" s="795"/>
      <c r="F166" s="796"/>
      <c r="G166" s="86" t="s">
        <v>176</v>
      </c>
      <c r="H166" s="87"/>
      <c r="I166" s="87">
        <f>H167</f>
        <v>558</v>
      </c>
      <c r="J166" s="467">
        <v>5</v>
      </c>
      <c r="K166" s="389">
        <f>I166*J166</f>
        <v>2790</v>
      </c>
      <c r="L166" s="40"/>
      <c r="M166" s="8"/>
    </row>
    <row r="167" spans="1:105" s="8" customFormat="1" ht="53.25" hidden="1" customHeight="1">
      <c r="A167" s="918"/>
      <c r="B167" s="956"/>
      <c r="C167" s="926" t="s">
        <v>831</v>
      </c>
      <c r="D167" s="927"/>
      <c r="E167" s="927"/>
      <c r="F167" s="928"/>
      <c r="G167" s="922" t="s">
        <v>177</v>
      </c>
      <c r="H167" s="924">
        <f>H26*0.3</f>
        <v>558</v>
      </c>
      <c r="I167" s="924" t="s">
        <v>34</v>
      </c>
      <c r="J167" s="467"/>
      <c r="K167" s="389"/>
      <c r="L167" s="14"/>
      <c r="M167" s="11"/>
      <c r="N167" s="101"/>
      <c r="O167" s="314"/>
    </row>
    <row r="168" spans="1:105" s="8" customFormat="1" ht="16.5" hidden="1" customHeight="1">
      <c r="A168" s="919"/>
      <c r="B168" s="957"/>
      <c r="C168" s="628" t="s">
        <v>490</v>
      </c>
      <c r="D168" s="461">
        <f>H167</f>
        <v>558</v>
      </c>
      <c r="E168" s="463" t="str">
        <f>G167</f>
        <v>m2</v>
      </c>
      <c r="F168" s="462" t="s">
        <v>715</v>
      </c>
      <c r="G168" s="923"/>
      <c r="H168" s="925"/>
      <c r="I168" s="925"/>
      <c r="J168" s="467"/>
      <c r="K168" s="389"/>
      <c r="L168" s="14"/>
      <c r="M168" s="11"/>
      <c r="N168" s="101"/>
      <c r="O168" s="40"/>
    </row>
    <row r="169" spans="1:105" s="8" customFormat="1" ht="18.75" hidden="1" customHeight="1">
      <c r="A169" s="537"/>
      <c r="B169" s="624"/>
      <c r="C169" s="460" t="s">
        <v>934</v>
      </c>
      <c r="D169" s="461"/>
      <c r="E169" s="463"/>
      <c r="F169" s="462"/>
      <c r="G169" s="538"/>
      <c r="H169" s="536" t="e">
        <f>984.8-#REF!+#REF!</f>
        <v>#REF!</v>
      </c>
      <c r="I169" s="536"/>
      <c r="J169" s="467"/>
      <c r="K169" s="389"/>
    </row>
    <row r="170" spans="1:105" s="11" customFormat="1" ht="27.75" hidden="1" customHeight="1">
      <c r="A170" s="542">
        <v>21</v>
      </c>
      <c r="B170" s="625" t="s">
        <v>117</v>
      </c>
      <c r="C170" s="803" t="s">
        <v>694</v>
      </c>
      <c r="D170" s="804"/>
      <c r="E170" s="804"/>
      <c r="F170" s="805"/>
      <c r="G170" s="86" t="s">
        <v>176</v>
      </c>
      <c r="H170" s="87" t="s">
        <v>34</v>
      </c>
      <c r="I170" s="77">
        <f>H171</f>
        <v>0</v>
      </c>
      <c r="J170" s="467"/>
      <c r="K170" s="389"/>
      <c r="L170" s="8"/>
    </row>
    <row r="171" spans="1:105" s="11" customFormat="1" ht="75" hidden="1" customHeight="1">
      <c r="A171" s="542"/>
      <c r="B171" s="626"/>
      <c r="C171" s="951" t="s">
        <v>932</v>
      </c>
      <c r="D171" s="952"/>
      <c r="E171" s="952"/>
      <c r="F171" s="953"/>
      <c r="G171" s="922" t="s">
        <v>177</v>
      </c>
      <c r="H171" s="924">
        <v>0</v>
      </c>
      <c r="I171" s="765" t="s">
        <v>34</v>
      </c>
      <c r="J171" s="467"/>
      <c r="K171" s="389"/>
      <c r="L171" s="8"/>
    </row>
    <row r="172" spans="1:105" s="11" customFormat="1" ht="22.5" hidden="1" customHeight="1">
      <c r="A172" s="542"/>
      <c r="B172" s="626"/>
      <c r="C172" s="460" t="s">
        <v>933</v>
      </c>
      <c r="D172" s="461">
        <f>H171</f>
        <v>0</v>
      </c>
      <c r="E172" s="463" t="s">
        <v>708</v>
      </c>
      <c r="F172" s="462" t="s">
        <v>718</v>
      </c>
      <c r="G172" s="923"/>
      <c r="H172" s="925"/>
      <c r="I172" s="765"/>
      <c r="J172" s="467"/>
      <c r="K172" s="389"/>
      <c r="L172" s="8"/>
    </row>
    <row r="173" spans="1:105" s="11" customFormat="1" ht="19.5" customHeight="1">
      <c r="A173" s="542">
        <v>37</v>
      </c>
      <c r="B173" s="625" t="s">
        <v>695</v>
      </c>
      <c r="C173" s="803" t="s">
        <v>741</v>
      </c>
      <c r="D173" s="804"/>
      <c r="E173" s="804"/>
      <c r="F173" s="805"/>
      <c r="G173" s="86" t="s">
        <v>176</v>
      </c>
      <c r="H173" s="87"/>
      <c r="I173" s="77">
        <f>H174</f>
        <v>10</v>
      </c>
      <c r="J173" s="467">
        <v>88</v>
      </c>
      <c r="K173" s="389">
        <f>I173*J173</f>
        <v>880</v>
      </c>
      <c r="L173" s="8"/>
    </row>
    <row r="174" spans="1:105" s="11" customFormat="1" ht="62.25" hidden="1" customHeight="1">
      <c r="A174" s="895"/>
      <c r="B174" s="958"/>
      <c r="C174" s="944" t="s">
        <v>832</v>
      </c>
      <c r="D174" s="945"/>
      <c r="E174" s="945"/>
      <c r="F174" s="946"/>
      <c r="G174" s="922" t="s">
        <v>177</v>
      </c>
      <c r="H174" s="924">
        <v>10</v>
      </c>
      <c r="I174" s="765" t="s">
        <v>34</v>
      </c>
      <c r="J174" s="924" t="s">
        <v>34</v>
      </c>
      <c r="K174" s="924" t="s">
        <v>34</v>
      </c>
      <c r="L174" s="101"/>
    </row>
    <row r="175" spans="1:105" s="11" customFormat="1" ht="21" hidden="1" customHeight="1">
      <c r="A175" s="896"/>
      <c r="B175" s="959"/>
      <c r="C175" s="460" t="s">
        <v>713</v>
      </c>
      <c r="D175" s="461">
        <f>H174</f>
        <v>10</v>
      </c>
      <c r="E175" s="463" t="str">
        <f>G174</f>
        <v>m2</v>
      </c>
      <c r="F175" s="462" t="s">
        <v>742</v>
      </c>
      <c r="G175" s="923"/>
      <c r="H175" s="925"/>
      <c r="I175" s="765"/>
      <c r="J175" s="925"/>
      <c r="K175" s="925"/>
      <c r="L175" s="8"/>
    </row>
    <row r="176" spans="1:105" s="11" customFormat="1" ht="17.25" hidden="1" customHeight="1">
      <c r="A176" s="837" t="s">
        <v>665</v>
      </c>
      <c r="B176" s="838"/>
      <c r="C176" s="838"/>
      <c r="D176" s="838"/>
      <c r="E176" s="838"/>
      <c r="F176" s="838"/>
      <c r="G176" s="838"/>
      <c r="H176" s="838"/>
      <c r="I176" s="838"/>
      <c r="J176" s="839"/>
      <c r="K176" s="479" t="e">
        <f>#REF!+K173+K170+#REF!+K166</f>
        <v>#REF!</v>
      </c>
      <c r="L176" s="399" t="e">
        <f>K176</f>
        <v>#REF!</v>
      </c>
      <c r="M176" s="399"/>
    </row>
    <row r="177" spans="1:105" s="11" customFormat="1" ht="34.5" hidden="1" customHeight="1">
      <c r="A177" s="21" t="s">
        <v>93</v>
      </c>
      <c r="B177" s="448" t="s">
        <v>62</v>
      </c>
      <c r="C177" s="880" t="s">
        <v>184</v>
      </c>
      <c r="D177" s="881"/>
      <c r="E177" s="881"/>
      <c r="F177" s="881"/>
      <c r="G177" s="881"/>
      <c r="H177" s="881"/>
      <c r="I177" s="881"/>
      <c r="J177" s="475"/>
      <c r="K177" s="456"/>
      <c r="L177" s="8"/>
    </row>
    <row r="178" spans="1:105" s="11" customFormat="1" ht="18.75" hidden="1" customHeight="1">
      <c r="A178" s="64" t="s">
        <v>34</v>
      </c>
      <c r="B178" s="64" t="s">
        <v>690</v>
      </c>
      <c r="C178" s="736" t="s">
        <v>691</v>
      </c>
      <c r="D178" s="736"/>
      <c r="E178" s="736"/>
      <c r="F178" s="736"/>
      <c r="G178" s="736" t="s">
        <v>8</v>
      </c>
      <c r="H178" s="736"/>
      <c r="I178" s="800"/>
      <c r="J178" s="478"/>
      <c r="K178" s="454"/>
    </row>
    <row r="179" spans="1:105" s="11" customFormat="1" ht="27.75" hidden="1" customHeight="1">
      <c r="A179" s="458">
        <v>24</v>
      </c>
      <c r="B179" s="564" t="s">
        <v>692</v>
      </c>
      <c r="C179" s="803" t="s">
        <v>693</v>
      </c>
      <c r="D179" s="804"/>
      <c r="E179" s="804"/>
      <c r="F179" s="805"/>
      <c r="G179" s="458" t="s">
        <v>11</v>
      </c>
      <c r="H179" s="566" t="s">
        <v>34</v>
      </c>
      <c r="I179" s="528">
        <f>H180</f>
        <v>0</v>
      </c>
      <c r="J179" s="474">
        <v>190</v>
      </c>
      <c r="K179" s="391">
        <f>I179*J179</f>
        <v>0</v>
      </c>
    </row>
    <row r="180" spans="1:105" s="11" customFormat="1" ht="33.75" hidden="1" customHeight="1">
      <c r="A180" s="458"/>
      <c r="B180" s="574"/>
      <c r="C180" s="960" t="s">
        <v>727</v>
      </c>
      <c r="D180" s="952"/>
      <c r="E180" s="952"/>
      <c r="F180" s="953"/>
      <c r="G180" s="961" t="s">
        <v>11</v>
      </c>
      <c r="H180" s="831">
        <v>0</v>
      </c>
      <c r="I180" s="831" t="s">
        <v>34</v>
      </c>
      <c r="J180" s="473"/>
      <c r="K180" s="391"/>
    </row>
    <row r="181" spans="1:105" s="11" customFormat="1" ht="16.5" hidden="1" customHeight="1">
      <c r="A181" s="515"/>
      <c r="B181" s="481"/>
      <c r="C181" s="460" t="s">
        <v>712</v>
      </c>
      <c r="D181" s="461">
        <f>H180</f>
        <v>0</v>
      </c>
      <c r="E181" s="463" t="str">
        <f>G180</f>
        <v>m</v>
      </c>
      <c r="F181" s="462" t="s">
        <v>715</v>
      </c>
      <c r="G181" s="962"/>
      <c r="H181" s="832"/>
      <c r="I181" s="832"/>
      <c r="J181" s="480"/>
      <c r="K181" s="539"/>
    </row>
    <row r="182" spans="1:105" s="11" customFormat="1" ht="26.25" hidden="1" customHeight="1">
      <c r="A182" s="458">
        <v>25</v>
      </c>
      <c r="B182" s="569" t="s">
        <v>723</v>
      </c>
      <c r="C182" s="803" t="s">
        <v>724</v>
      </c>
      <c r="D182" s="804"/>
      <c r="E182" s="804"/>
      <c r="F182" s="805"/>
      <c r="G182" s="458" t="s">
        <v>11</v>
      </c>
      <c r="H182" s="566" t="s">
        <v>34</v>
      </c>
      <c r="I182" s="566">
        <f>H183</f>
        <v>0</v>
      </c>
      <c r="J182" s="566">
        <v>123.25</v>
      </c>
      <c r="K182" s="539">
        <f>J182*I182</f>
        <v>0</v>
      </c>
    </row>
    <row r="183" spans="1:105" s="11" customFormat="1" ht="78" hidden="1" customHeight="1">
      <c r="A183" s="458"/>
      <c r="B183" s="574"/>
      <c r="C183" s="960" t="s">
        <v>725</v>
      </c>
      <c r="D183" s="952"/>
      <c r="E183" s="952"/>
      <c r="F183" s="953"/>
      <c r="G183" s="961" t="s">
        <v>11</v>
      </c>
      <c r="H183" s="831">
        <v>0</v>
      </c>
      <c r="I183" s="831" t="s">
        <v>34</v>
      </c>
      <c r="J183" s="480"/>
      <c r="K183" s="539"/>
    </row>
    <row r="184" spans="1:105" s="11" customFormat="1" ht="21.75" hidden="1" customHeight="1">
      <c r="A184" s="515"/>
      <c r="B184" s="481"/>
      <c r="C184" s="460" t="s">
        <v>712</v>
      </c>
      <c r="D184" s="461">
        <f>H183</f>
        <v>0</v>
      </c>
      <c r="E184" s="463" t="str">
        <f>G183</f>
        <v>m</v>
      </c>
      <c r="F184" s="462" t="s">
        <v>715</v>
      </c>
      <c r="G184" s="962"/>
      <c r="H184" s="832"/>
      <c r="I184" s="832"/>
      <c r="J184" s="480"/>
      <c r="K184" s="539"/>
    </row>
    <row r="185" spans="1:105" ht="15.75" hidden="1">
      <c r="A185" s="837" t="s">
        <v>666</v>
      </c>
      <c r="B185" s="838"/>
      <c r="C185" s="838"/>
      <c r="D185" s="838"/>
      <c r="E185" s="838"/>
      <c r="F185" s="838"/>
      <c r="G185" s="838"/>
      <c r="H185" s="838"/>
      <c r="I185" s="838"/>
      <c r="J185" s="839"/>
      <c r="K185" s="479">
        <f>K179+K182</f>
        <v>0</v>
      </c>
      <c r="L185" s="399">
        <f>K185</f>
        <v>0</v>
      </c>
    </row>
    <row r="186" spans="1:105" ht="15.75">
      <c r="A186" s="837" t="s">
        <v>665</v>
      </c>
      <c r="B186" s="838"/>
      <c r="C186" s="838"/>
      <c r="D186" s="838"/>
      <c r="E186" s="838"/>
      <c r="F186" s="838"/>
      <c r="G186" s="838"/>
      <c r="H186" s="838"/>
      <c r="I186" s="838"/>
      <c r="J186" s="839"/>
      <c r="K186" s="445">
        <f>K166+K173</f>
        <v>3670</v>
      </c>
      <c r="L186" s="3"/>
    </row>
    <row r="187" spans="1:105" s="41" customFormat="1" ht="25.5" hidden="1">
      <c r="A187" s="21" t="s">
        <v>93</v>
      </c>
      <c r="B187" s="595" t="s">
        <v>64</v>
      </c>
      <c r="C187" s="963" t="s">
        <v>931</v>
      </c>
      <c r="D187" s="963"/>
      <c r="E187" s="963"/>
      <c r="F187" s="963"/>
      <c r="G187" s="963" t="s">
        <v>8</v>
      </c>
      <c r="H187" s="963"/>
      <c r="I187" s="964"/>
      <c r="J187" s="477"/>
      <c r="K187" s="457"/>
      <c r="L187" s="14"/>
      <c r="M187" s="58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</row>
    <row r="188" spans="1:105" s="8" customFormat="1" ht="19.5" hidden="1" customHeight="1">
      <c r="A188" s="64" t="s">
        <v>34</v>
      </c>
      <c r="B188" s="276" t="s">
        <v>24</v>
      </c>
      <c r="C188" s="741" t="s">
        <v>747</v>
      </c>
      <c r="D188" s="741"/>
      <c r="E188" s="741"/>
      <c r="F188" s="741"/>
      <c r="G188" s="741" t="s">
        <v>8</v>
      </c>
      <c r="H188" s="741"/>
      <c r="I188" s="965"/>
      <c r="J188" s="478"/>
      <c r="K188" s="454"/>
      <c r="L188" s="40"/>
      <c r="M188" s="59"/>
    </row>
    <row r="189" spans="1:105" s="11" customFormat="1" ht="26.25" hidden="1" customHeight="1">
      <c r="A189" s="86">
        <v>30</v>
      </c>
      <c r="B189" s="627" t="s">
        <v>749</v>
      </c>
      <c r="C189" s="966" t="s">
        <v>802</v>
      </c>
      <c r="D189" s="967"/>
      <c r="E189" s="967"/>
      <c r="F189" s="968"/>
      <c r="G189" s="289" t="s">
        <v>11</v>
      </c>
      <c r="H189" s="158"/>
      <c r="I189" s="158">
        <f>H190</f>
        <v>740</v>
      </c>
      <c r="J189" s="467">
        <v>55</v>
      </c>
      <c r="K189" s="389">
        <f>I189*J189</f>
        <v>40700</v>
      </c>
      <c r="L189" s="40"/>
      <c r="M189" s="8"/>
    </row>
    <row r="190" spans="1:105" s="8" customFormat="1" ht="56.25" hidden="1" customHeight="1">
      <c r="A190" s="918"/>
      <c r="B190" s="969"/>
      <c r="C190" s="971" t="s">
        <v>803</v>
      </c>
      <c r="D190" s="972"/>
      <c r="E190" s="972"/>
      <c r="F190" s="973"/>
      <c r="G190" s="974" t="s">
        <v>11</v>
      </c>
      <c r="H190" s="975">
        <v>740</v>
      </c>
      <c r="I190" s="975" t="s">
        <v>34</v>
      </c>
      <c r="J190" s="861" t="s">
        <v>34</v>
      </c>
      <c r="K190" s="861" t="s">
        <v>34</v>
      </c>
      <c r="L190" s="14"/>
      <c r="M190" s="11"/>
      <c r="N190" s="101"/>
      <c r="O190" s="314"/>
    </row>
    <row r="191" spans="1:105" s="8" customFormat="1" ht="21.75" hidden="1" customHeight="1">
      <c r="A191" s="919"/>
      <c r="B191" s="970"/>
      <c r="C191" s="460" t="s">
        <v>712</v>
      </c>
      <c r="D191" s="461">
        <f>H190</f>
        <v>740</v>
      </c>
      <c r="E191" s="463" t="s">
        <v>11</v>
      </c>
      <c r="F191" s="462" t="s">
        <v>718</v>
      </c>
      <c r="G191" s="923"/>
      <c r="H191" s="925"/>
      <c r="I191" s="925"/>
      <c r="J191" s="862"/>
      <c r="K191" s="862"/>
      <c r="L191" s="14"/>
      <c r="M191" s="11"/>
      <c r="N191" s="101"/>
      <c r="O191" s="40"/>
    </row>
    <row r="192" spans="1:105" s="11" customFormat="1" ht="17.25" hidden="1" customHeight="1">
      <c r="A192" s="837" t="s">
        <v>666</v>
      </c>
      <c r="B192" s="838"/>
      <c r="C192" s="838"/>
      <c r="D192" s="838"/>
      <c r="E192" s="838"/>
      <c r="F192" s="838"/>
      <c r="G192" s="838"/>
      <c r="H192" s="838"/>
      <c r="I192" s="838"/>
      <c r="J192" s="839"/>
      <c r="K192" s="479" t="e">
        <f>K189+K184+K181+K177+#REF!</f>
        <v>#REF!</v>
      </c>
      <c r="L192" s="399" t="e">
        <f>K192</f>
        <v>#REF!</v>
      </c>
      <c r="M192" s="399"/>
    </row>
    <row r="193" spans="1:20" s="11" customFormat="1" ht="17.25" customHeight="1">
      <c r="A193" s="86">
        <v>39</v>
      </c>
      <c r="B193" s="569" t="s">
        <v>750</v>
      </c>
      <c r="C193" s="794" t="s">
        <v>940</v>
      </c>
      <c r="D193" s="795"/>
      <c r="E193" s="795"/>
      <c r="F193" s="796"/>
      <c r="G193" s="86" t="s">
        <v>11</v>
      </c>
      <c r="H193" s="87"/>
      <c r="I193" s="87">
        <f>H194</f>
        <v>1176.8</v>
      </c>
      <c r="J193" s="467">
        <v>65</v>
      </c>
      <c r="K193" s="389">
        <f>I193*J193</f>
        <v>76492</v>
      </c>
      <c r="L193" s="399"/>
      <c r="M193" s="399"/>
    </row>
    <row r="194" spans="1:20" s="11" customFormat="1" ht="47.25" hidden="1" customHeight="1">
      <c r="A194" s="918"/>
      <c r="B194" s="956"/>
      <c r="C194" s="926" t="s">
        <v>804</v>
      </c>
      <c r="D194" s="927"/>
      <c r="E194" s="927"/>
      <c r="F194" s="928"/>
      <c r="G194" s="922" t="s">
        <v>11</v>
      </c>
      <c r="H194" s="924">
        <v>1176.8</v>
      </c>
      <c r="I194" s="924" t="s">
        <v>34</v>
      </c>
      <c r="J194" s="467"/>
      <c r="K194" s="389"/>
      <c r="L194" s="399"/>
      <c r="M194" s="399"/>
    </row>
    <row r="195" spans="1:20" s="11" customFormat="1" ht="17.25" hidden="1" customHeight="1">
      <c r="A195" s="919"/>
      <c r="B195" s="970"/>
      <c r="C195" s="460" t="s">
        <v>713</v>
      </c>
      <c r="D195" s="461">
        <f>H194</f>
        <v>1176.8</v>
      </c>
      <c r="E195" s="463" t="s">
        <v>708</v>
      </c>
      <c r="F195" s="462" t="s">
        <v>716</v>
      </c>
      <c r="G195" s="923"/>
      <c r="H195" s="925"/>
      <c r="I195" s="925"/>
      <c r="J195" s="467"/>
      <c r="K195" s="389"/>
      <c r="L195" s="399"/>
      <c r="M195" s="399"/>
    </row>
    <row r="196" spans="1:20" s="11" customFormat="1" ht="17.25" customHeight="1">
      <c r="A196" s="86">
        <v>40</v>
      </c>
      <c r="B196" s="569" t="s">
        <v>1</v>
      </c>
      <c r="C196" s="794" t="s">
        <v>748</v>
      </c>
      <c r="D196" s="795"/>
      <c r="E196" s="795"/>
      <c r="F196" s="796"/>
      <c r="G196" s="86" t="s">
        <v>11</v>
      </c>
      <c r="H196" s="87"/>
      <c r="I196" s="87" t="e">
        <f>H197</f>
        <v>#REF!</v>
      </c>
      <c r="J196" s="467">
        <v>69</v>
      </c>
      <c r="K196" s="389" t="e">
        <f>I196*J196</f>
        <v>#REF!</v>
      </c>
      <c r="L196" s="399"/>
      <c r="M196" s="399"/>
    </row>
    <row r="197" spans="1:20" s="11" customFormat="1" ht="45.75" hidden="1" customHeight="1">
      <c r="A197" s="918"/>
      <c r="B197" s="956"/>
      <c r="C197" s="926" t="s">
        <v>805</v>
      </c>
      <c r="D197" s="927"/>
      <c r="E197" s="927"/>
      <c r="F197" s="928"/>
      <c r="G197" s="922" t="s">
        <v>11</v>
      </c>
      <c r="H197" s="924" t="e">
        <f>#REF!</f>
        <v>#REF!</v>
      </c>
      <c r="I197" s="924" t="s">
        <v>34</v>
      </c>
      <c r="J197" s="474"/>
      <c r="K197" s="391"/>
      <c r="L197" s="399"/>
      <c r="M197" s="399"/>
      <c r="O197" s="494"/>
      <c r="P197" s="495"/>
      <c r="Q197" s="504"/>
      <c r="R197" s="494"/>
      <c r="S197" s="526"/>
      <c r="T197" s="526"/>
    </row>
    <row r="198" spans="1:20" s="11" customFormat="1" ht="23.25" hidden="1" customHeight="1">
      <c r="A198" s="919"/>
      <c r="B198" s="970"/>
      <c r="C198" s="460" t="s">
        <v>713</v>
      </c>
      <c r="D198" s="461" t="e">
        <f>H197</f>
        <v>#REF!</v>
      </c>
      <c r="E198" s="463" t="s">
        <v>708</v>
      </c>
      <c r="F198" s="462" t="s">
        <v>807</v>
      </c>
      <c r="G198" s="923"/>
      <c r="H198" s="925"/>
      <c r="I198" s="925"/>
      <c r="J198" s="474"/>
      <c r="K198" s="391"/>
      <c r="L198" s="530"/>
      <c r="M198" s="399"/>
      <c r="O198" s="497"/>
      <c r="P198" s="505"/>
      <c r="Q198" s="499"/>
      <c r="R198" s="500"/>
      <c r="S198" s="547"/>
      <c r="T198" s="526"/>
    </row>
    <row r="199" spans="1:20" s="11" customFormat="1" ht="23.25" customHeight="1">
      <c r="A199" s="86">
        <v>41</v>
      </c>
      <c r="B199" s="549" t="s">
        <v>2</v>
      </c>
      <c r="C199" s="806" t="s">
        <v>743</v>
      </c>
      <c r="D199" s="806"/>
      <c r="E199" s="806"/>
      <c r="F199" s="806"/>
      <c r="G199" s="86" t="s">
        <v>11</v>
      </c>
      <c r="H199" s="87"/>
      <c r="I199" s="87">
        <f>H200</f>
        <v>734</v>
      </c>
      <c r="J199" s="467">
        <v>42</v>
      </c>
      <c r="K199" s="389">
        <f>I199*J199</f>
        <v>30828</v>
      </c>
      <c r="L199" s="399"/>
      <c r="M199" s="399"/>
      <c r="O199" s="497"/>
      <c r="P199" s="505"/>
      <c r="Q199" s="499"/>
      <c r="R199" s="500"/>
      <c r="S199" s="547"/>
      <c r="T199" s="526"/>
    </row>
    <row r="200" spans="1:20" s="11" customFormat="1" ht="45.75" hidden="1" customHeight="1">
      <c r="A200" s="918"/>
      <c r="B200" s="956"/>
      <c r="C200" s="976" t="s">
        <v>751</v>
      </c>
      <c r="D200" s="976"/>
      <c r="E200" s="976"/>
      <c r="F200" s="976"/>
      <c r="G200" s="922" t="s">
        <v>11</v>
      </c>
      <c r="H200" s="924">
        <v>734</v>
      </c>
      <c r="I200" s="924" t="s">
        <v>34</v>
      </c>
      <c r="J200" s="490"/>
      <c r="K200" s="516"/>
      <c r="L200" s="399"/>
      <c r="M200" s="399"/>
      <c r="O200" s="497"/>
      <c r="P200" s="505"/>
      <c r="Q200" s="499"/>
      <c r="R200" s="500"/>
      <c r="S200" s="547"/>
      <c r="T200" s="526"/>
    </row>
    <row r="201" spans="1:20" s="11" customFormat="1" ht="23.25" hidden="1" customHeight="1">
      <c r="A201" s="919"/>
      <c r="B201" s="970"/>
      <c r="C201" s="460" t="s">
        <v>712</v>
      </c>
      <c r="D201" s="461">
        <f>H200</f>
        <v>734</v>
      </c>
      <c r="E201" s="463" t="s">
        <v>11</v>
      </c>
      <c r="F201" s="462" t="s">
        <v>716</v>
      </c>
      <c r="G201" s="923"/>
      <c r="H201" s="925"/>
      <c r="I201" s="925"/>
      <c r="J201" s="490"/>
      <c r="K201" s="516"/>
      <c r="L201" s="399"/>
      <c r="M201" s="399"/>
      <c r="O201" s="497"/>
      <c r="P201" s="505"/>
      <c r="Q201" s="499"/>
      <c r="R201" s="500"/>
      <c r="S201" s="547"/>
      <c r="T201" s="526"/>
    </row>
    <row r="202" spans="1:20" s="11" customFormat="1" ht="23.25" customHeight="1">
      <c r="A202" s="64" t="s">
        <v>34</v>
      </c>
      <c r="B202" s="64" t="s">
        <v>744</v>
      </c>
      <c r="C202" s="977" t="s">
        <v>745</v>
      </c>
      <c r="D202" s="978"/>
      <c r="E202" s="978"/>
      <c r="F202" s="978"/>
      <c r="G202" s="978"/>
      <c r="H202" s="978"/>
      <c r="I202" s="978"/>
      <c r="J202" s="978"/>
      <c r="K202" s="979"/>
      <c r="L202" s="399"/>
      <c r="M202" s="399"/>
      <c r="O202" s="497"/>
      <c r="P202" s="505"/>
      <c r="Q202" s="499"/>
      <c r="R202" s="500"/>
      <c r="S202" s="547"/>
      <c r="T202" s="526"/>
    </row>
    <row r="203" spans="1:20" ht="22.5" customHeight="1">
      <c r="A203" s="837" t="s">
        <v>666</v>
      </c>
      <c r="B203" s="838"/>
      <c r="C203" s="838"/>
      <c r="D203" s="838"/>
      <c r="E203" s="838"/>
      <c r="F203" s="838"/>
      <c r="G203" s="838"/>
      <c r="H203" s="838"/>
      <c r="I203" s="838"/>
      <c r="J203" s="839"/>
      <c r="K203" s="445" t="e">
        <f>K186+K190+K193+K196+K200</f>
        <v>#VALUE!</v>
      </c>
      <c r="L203" s="3"/>
    </row>
    <row r="204" spans="1:20" ht="25.5" customHeight="1">
      <c r="A204" s="21" t="s">
        <v>33</v>
      </c>
      <c r="B204" s="602" t="s">
        <v>62</v>
      </c>
      <c r="C204" s="735" t="s">
        <v>936</v>
      </c>
      <c r="D204" s="735"/>
      <c r="E204" s="735"/>
      <c r="F204" s="735"/>
      <c r="G204" s="735"/>
      <c r="H204" s="735"/>
      <c r="I204" s="735"/>
      <c r="J204" s="735"/>
      <c r="K204" s="735"/>
    </row>
    <row r="205" spans="1:20" ht="20.25" customHeight="1">
      <c r="A205" s="64" t="s">
        <v>34</v>
      </c>
      <c r="B205" s="603" t="s">
        <v>119</v>
      </c>
      <c r="C205" s="980" t="s">
        <v>118</v>
      </c>
      <c r="D205" s="981"/>
      <c r="E205" s="981"/>
      <c r="F205" s="981"/>
      <c r="G205" s="981"/>
      <c r="H205" s="981"/>
      <c r="I205" s="981"/>
      <c r="J205" s="981"/>
      <c r="K205" s="982"/>
    </row>
    <row r="206" spans="1:20" ht="22.5" customHeight="1">
      <c r="A206" s="837" t="s">
        <v>666</v>
      </c>
      <c r="B206" s="838"/>
      <c r="C206" s="838"/>
      <c r="D206" s="838"/>
      <c r="E206" s="838"/>
      <c r="F206" s="838"/>
      <c r="G206" s="838"/>
      <c r="H206" s="838"/>
      <c r="I206" s="838"/>
      <c r="J206" s="839"/>
      <c r="K206" s="445" t="e">
        <f>K189+K193+K196+K199+K203</f>
        <v>#REF!</v>
      </c>
      <c r="L206" s="3"/>
    </row>
    <row r="207" spans="1:20" ht="25.5" customHeight="1">
      <c r="A207" s="21" t="s">
        <v>33</v>
      </c>
      <c r="B207" s="602" t="s">
        <v>62</v>
      </c>
      <c r="C207" s="735" t="s">
        <v>184</v>
      </c>
      <c r="D207" s="735"/>
      <c r="E207" s="735"/>
      <c r="F207" s="735"/>
      <c r="G207" s="735"/>
      <c r="H207" s="735"/>
      <c r="I207" s="735"/>
      <c r="J207" s="735"/>
      <c r="K207" s="735"/>
    </row>
    <row r="208" spans="1:20" ht="20.25" customHeight="1">
      <c r="A208" s="64" t="s">
        <v>34</v>
      </c>
      <c r="B208" s="603" t="s">
        <v>119</v>
      </c>
      <c r="C208" s="980" t="s">
        <v>118</v>
      </c>
      <c r="D208" s="981"/>
      <c r="E208" s="981"/>
      <c r="F208" s="981"/>
      <c r="G208" s="981"/>
      <c r="H208" s="981"/>
      <c r="I208" s="981"/>
      <c r="J208" s="981"/>
      <c r="K208" s="982"/>
    </row>
    <row r="209" spans="1:19" ht="20.25" customHeight="1">
      <c r="A209" s="74">
        <v>43</v>
      </c>
      <c r="B209" s="74" t="s">
        <v>119</v>
      </c>
      <c r="C209" s="762" t="s">
        <v>169</v>
      </c>
      <c r="D209" s="762"/>
      <c r="E209" s="762"/>
      <c r="F209" s="762"/>
      <c r="G209" s="86" t="s">
        <v>9</v>
      </c>
      <c r="H209" s="87" t="s">
        <v>34</v>
      </c>
      <c r="I209" s="87" t="e">
        <f>H210</f>
        <v>#REF!</v>
      </c>
      <c r="J209" s="467">
        <v>35</v>
      </c>
      <c r="K209" s="389" t="e">
        <f>I209*J209</f>
        <v>#REF!</v>
      </c>
    </row>
    <row r="210" spans="1:19" ht="23.25" hidden="1" customHeight="1">
      <c r="A210" s="983"/>
      <c r="B210" s="985"/>
      <c r="C210" s="976" t="s">
        <v>941</v>
      </c>
      <c r="D210" s="987"/>
      <c r="E210" s="987"/>
      <c r="F210" s="987"/>
      <c r="G210" s="922" t="s">
        <v>9</v>
      </c>
      <c r="H210" s="924" t="e">
        <f>1227.4+#REF!</f>
        <v>#REF!</v>
      </c>
      <c r="I210" s="924" t="s">
        <v>34</v>
      </c>
      <c r="J210" s="474"/>
      <c r="K210" s="391"/>
    </row>
    <row r="211" spans="1:19" ht="19.5" hidden="1" customHeight="1">
      <c r="A211" s="984"/>
      <c r="B211" s="986"/>
      <c r="C211" s="510" t="s">
        <v>717</v>
      </c>
      <c r="D211" s="511" t="e">
        <f>H210</f>
        <v>#REF!</v>
      </c>
      <c r="E211" s="512" t="s">
        <v>9</v>
      </c>
      <c r="F211" s="512" t="s">
        <v>756</v>
      </c>
      <c r="G211" s="923"/>
      <c r="H211" s="925"/>
      <c r="I211" s="925"/>
      <c r="J211" s="474"/>
      <c r="K211" s="391"/>
    </row>
    <row r="212" spans="1:19" ht="22.5" customHeight="1">
      <c r="A212" s="22">
        <v>44</v>
      </c>
      <c r="B212" s="564" t="s">
        <v>170</v>
      </c>
      <c r="C212" s="762" t="s">
        <v>217</v>
      </c>
      <c r="D212" s="762"/>
      <c r="E212" s="762"/>
      <c r="F212" s="762"/>
      <c r="G212" s="86" t="s">
        <v>9</v>
      </c>
      <c r="H212" s="87"/>
      <c r="I212" s="87">
        <f>H213</f>
        <v>3</v>
      </c>
      <c r="J212" s="467">
        <v>10</v>
      </c>
      <c r="K212" s="389">
        <f>I212*J212</f>
        <v>30</v>
      </c>
    </row>
    <row r="213" spans="1:19" ht="18" hidden="1" customHeight="1">
      <c r="A213" s="983"/>
      <c r="B213" s="985"/>
      <c r="C213" s="997" t="s">
        <v>753</v>
      </c>
      <c r="D213" s="998"/>
      <c r="E213" s="998"/>
      <c r="F213" s="999"/>
      <c r="G213" s="922" t="s">
        <v>9</v>
      </c>
      <c r="H213" s="924">
        <v>3</v>
      </c>
      <c r="I213" s="924" t="s">
        <v>34</v>
      </c>
      <c r="J213" s="517"/>
      <c r="K213" s="518"/>
    </row>
    <row r="214" spans="1:19" ht="18.75" hidden="1" customHeight="1">
      <c r="A214" s="984"/>
      <c r="B214" s="986"/>
      <c r="C214" s="510" t="s">
        <v>717</v>
      </c>
      <c r="D214" s="511">
        <f>H213</f>
        <v>3</v>
      </c>
      <c r="E214" s="512" t="s">
        <v>755</v>
      </c>
      <c r="F214" s="512" t="s">
        <v>756</v>
      </c>
      <c r="G214" s="923"/>
      <c r="H214" s="925"/>
      <c r="I214" s="925"/>
      <c r="J214" s="517"/>
      <c r="K214" s="518"/>
    </row>
    <row r="215" spans="1:19" ht="16.5" customHeight="1">
      <c r="A215" s="64" t="s">
        <v>34</v>
      </c>
      <c r="B215" s="64" t="s">
        <v>171</v>
      </c>
      <c r="C215" s="992" t="s">
        <v>172</v>
      </c>
      <c r="D215" s="993"/>
      <c r="E215" s="993"/>
      <c r="F215" s="993"/>
      <c r="G215" s="993"/>
      <c r="H215" s="993"/>
      <c r="I215" s="993"/>
      <c r="J215" s="993"/>
      <c r="K215" s="994"/>
      <c r="L215" s="399"/>
    </row>
    <row r="216" spans="1:19" ht="16.5" customHeight="1">
      <c r="A216" s="509">
        <v>45</v>
      </c>
      <c r="B216" s="506" t="s">
        <v>173</v>
      </c>
      <c r="C216" s="803" t="s">
        <v>757</v>
      </c>
      <c r="D216" s="804"/>
      <c r="E216" s="804"/>
      <c r="F216" s="805"/>
      <c r="G216" s="458" t="s">
        <v>11</v>
      </c>
      <c r="H216" s="566"/>
      <c r="I216" s="528">
        <f>H217</f>
        <v>376.9</v>
      </c>
      <c r="J216" s="467">
        <v>180</v>
      </c>
      <c r="K216" s="389">
        <f>I216*J216</f>
        <v>67842</v>
      </c>
      <c r="L216" s="399"/>
    </row>
    <row r="217" spans="1:19" ht="39" hidden="1" customHeight="1">
      <c r="A217" s="995"/>
      <c r="B217" s="958"/>
      <c r="C217" s="944" t="s">
        <v>938</v>
      </c>
      <c r="D217" s="945"/>
      <c r="E217" s="945"/>
      <c r="F217" s="946"/>
      <c r="G217" s="961" t="s">
        <v>11</v>
      </c>
      <c r="H217" s="831">
        <f>991-601-13.1</f>
        <v>376.9</v>
      </c>
      <c r="I217" s="831" t="s">
        <v>34</v>
      </c>
      <c r="J217" s="517"/>
      <c r="K217" s="518"/>
    </row>
    <row r="218" spans="1:19" ht="18.75" hidden="1" customHeight="1">
      <c r="A218" s="996"/>
      <c r="B218" s="959"/>
      <c r="C218" s="460" t="s">
        <v>712</v>
      </c>
      <c r="D218" s="461">
        <f>H217</f>
        <v>376.9</v>
      </c>
      <c r="E218" s="463" t="s">
        <v>11</v>
      </c>
      <c r="F218" s="462" t="s">
        <v>716</v>
      </c>
      <c r="G218" s="962"/>
      <c r="H218" s="832"/>
      <c r="I218" s="832"/>
      <c r="J218" s="519"/>
      <c r="K218" s="520"/>
    </row>
    <row r="219" spans="1:19" ht="39" customHeight="1">
      <c r="A219" s="614"/>
      <c r="B219" s="958"/>
      <c r="C219" s="944" t="s">
        <v>937</v>
      </c>
      <c r="D219" s="945"/>
      <c r="E219" s="945"/>
      <c r="F219" s="946"/>
      <c r="G219" s="961" t="s">
        <v>11</v>
      </c>
      <c r="H219" s="831">
        <f>481+157+20</f>
        <v>658</v>
      </c>
      <c r="I219" s="831" t="s">
        <v>34</v>
      </c>
      <c r="J219" s="519"/>
      <c r="K219" s="520"/>
    </row>
    <row r="220" spans="1:19" ht="18.75" customHeight="1">
      <c r="A220" s="614"/>
      <c r="B220" s="959"/>
      <c r="C220" s="460" t="s">
        <v>712</v>
      </c>
      <c r="D220" s="461">
        <f>H219</f>
        <v>658</v>
      </c>
      <c r="E220" s="463" t="s">
        <v>11</v>
      </c>
      <c r="F220" s="462" t="s">
        <v>716</v>
      </c>
      <c r="G220" s="962"/>
      <c r="H220" s="832"/>
      <c r="I220" s="832"/>
      <c r="J220" s="519"/>
      <c r="K220" s="520"/>
    </row>
    <row r="221" spans="1:19" ht="15.75">
      <c r="A221" s="837" t="s">
        <v>223</v>
      </c>
      <c r="B221" s="838"/>
      <c r="C221" s="838"/>
      <c r="D221" s="838"/>
      <c r="E221" s="838"/>
      <c r="F221" s="838"/>
      <c r="G221" s="838"/>
      <c r="H221" s="838"/>
      <c r="I221" s="838"/>
      <c r="J221" s="839"/>
      <c r="K221" s="445" t="e">
        <f>K209+K212+K216</f>
        <v>#REF!</v>
      </c>
      <c r="L221" s="3"/>
    </row>
    <row r="222" spans="1:19" ht="15.75">
      <c r="A222" s="840" t="s">
        <v>897</v>
      </c>
      <c r="B222" s="841"/>
      <c r="C222" s="841"/>
      <c r="D222" s="841"/>
      <c r="E222" s="841"/>
      <c r="F222" s="841"/>
      <c r="G222" s="841"/>
      <c r="H222" s="841"/>
      <c r="I222" s="841"/>
      <c r="J222" s="842"/>
      <c r="K222" s="403" t="e">
        <f>K41+K52+K82+K121+K163+K186+K206+K221</f>
        <v>#REF!</v>
      </c>
      <c r="L222" s="485"/>
    </row>
    <row r="223" spans="1:19" ht="25.5" customHeight="1">
      <c r="A223" s="23" t="s">
        <v>126</v>
      </c>
      <c r="B223" s="761" t="s">
        <v>876</v>
      </c>
      <c r="C223" s="761"/>
      <c r="D223" s="761"/>
      <c r="E223" s="761"/>
      <c r="F223" s="761"/>
      <c r="G223" s="761"/>
      <c r="H223" s="761"/>
      <c r="I223" s="761"/>
      <c r="J223" s="761"/>
      <c r="K223" s="761"/>
      <c r="L223" s="485"/>
      <c r="N223" s="491"/>
      <c r="O223" s="491"/>
      <c r="P223" s="988"/>
      <c r="Q223" s="988"/>
      <c r="R223" s="988"/>
      <c r="S223" s="988"/>
    </row>
    <row r="224" spans="1:19" ht="25.5" customHeight="1">
      <c r="A224" s="24" t="s">
        <v>854</v>
      </c>
      <c r="B224" s="21" t="s">
        <v>855</v>
      </c>
      <c r="C224" s="735" t="s">
        <v>856</v>
      </c>
      <c r="D224" s="735"/>
      <c r="E224" s="735"/>
      <c r="F224" s="735"/>
      <c r="G224" s="735"/>
      <c r="H224" s="735"/>
      <c r="I224" s="735"/>
      <c r="J224" s="735"/>
      <c r="K224" s="735"/>
      <c r="N224" s="492"/>
      <c r="O224" s="492"/>
      <c r="P224" s="493"/>
      <c r="Q224" s="493"/>
      <c r="R224" s="493"/>
      <c r="S224" s="493"/>
    </row>
    <row r="225" spans="1:19" ht="19.5" customHeight="1">
      <c r="A225" s="64" t="s">
        <v>34</v>
      </c>
      <c r="B225" s="577" t="s">
        <v>857</v>
      </c>
      <c r="C225" s="989" t="s">
        <v>858</v>
      </c>
      <c r="D225" s="990"/>
      <c r="E225" s="990"/>
      <c r="F225" s="990"/>
      <c r="G225" s="990"/>
      <c r="H225" s="990"/>
      <c r="I225" s="990"/>
      <c r="J225" s="990"/>
      <c r="K225" s="991"/>
      <c r="N225" s="492"/>
      <c r="O225" s="492"/>
      <c r="P225" s="493"/>
      <c r="Q225" s="493"/>
      <c r="R225" s="493"/>
      <c r="S225" s="493"/>
    </row>
    <row r="226" spans="1:19" ht="21.75" customHeight="1">
      <c r="A226" s="509">
        <v>46</v>
      </c>
      <c r="B226" s="755" t="s">
        <v>857</v>
      </c>
      <c r="C226" s="1000" t="s">
        <v>862</v>
      </c>
      <c r="D226" s="1001"/>
      <c r="E226" s="1001"/>
      <c r="F226" s="1002"/>
      <c r="G226" s="458" t="s">
        <v>734</v>
      </c>
      <c r="H226" s="566">
        <f>H227</f>
        <v>13.32</v>
      </c>
      <c r="I226" s="566">
        <f>H227</f>
        <v>13.32</v>
      </c>
      <c r="J226" s="592">
        <v>120</v>
      </c>
      <c r="K226" s="592">
        <f>I226*J226</f>
        <v>1598.4</v>
      </c>
      <c r="N226" s="492"/>
      <c r="O226" s="492"/>
      <c r="P226" s="493"/>
      <c r="Q226" s="493"/>
      <c r="R226" s="493"/>
      <c r="S226" s="493"/>
    </row>
    <row r="227" spans="1:19" ht="21.75" hidden="1" customHeight="1">
      <c r="A227" s="74"/>
      <c r="B227" s="755"/>
      <c r="C227" s="579" t="s">
        <v>714</v>
      </c>
      <c r="D227" s="580">
        <f>H227</f>
        <v>13.32</v>
      </c>
      <c r="E227" s="581" t="s">
        <v>734</v>
      </c>
      <c r="F227" s="582"/>
      <c r="G227" s="458" t="s">
        <v>34</v>
      </c>
      <c r="H227" s="566">
        <f>18.5*0.6*1.2</f>
        <v>13.32</v>
      </c>
      <c r="I227" s="566" t="s">
        <v>34</v>
      </c>
      <c r="J227" s="592"/>
      <c r="K227" s="592" t="e">
        <f t="shared" ref="K227:K233" si="1">I227*J227</f>
        <v>#VALUE!</v>
      </c>
      <c r="N227" s="492"/>
      <c r="O227" s="492"/>
      <c r="P227" s="493"/>
      <c r="Q227" s="493"/>
      <c r="R227" s="493"/>
      <c r="S227" s="493"/>
    </row>
    <row r="228" spans="1:19" ht="16.5" customHeight="1">
      <c r="A228" s="74">
        <v>47</v>
      </c>
      <c r="B228" s="755"/>
      <c r="C228" s="1000" t="s">
        <v>863</v>
      </c>
      <c r="D228" s="1001"/>
      <c r="E228" s="1001"/>
      <c r="F228" s="1002"/>
      <c r="G228" s="458" t="s">
        <v>734</v>
      </c>
      <c r="H228" s="566">
        <f>H229</f>
        <v>1.1100000000000001</v>
      </c>
      <c r="I228" s="566">
        <f>H229</f>
        <v>1.1100000000000001</v>
      </c>
      <c r="J228" s="592">
        <v>2.5</v>
      </c>
      <c r="K228" s="592">
        <f t="shared" si="1"/>
        <v>2.78</v>
      </c>
      <c r="N228" s="492"/>
      <c r="O228" s="492"/>
      <c r="P228" s="493"/>
      <c r="Q228" s="493"/>
      <c r="R228" s="493"/>
      <c r="S228" s="493"/>
    </row>
    <row r="229" spans="1:19" ht="60.75" hidden="1" customHeight="1">
      <c r="A229" s="74"/>
      <c r="B229" s="755"/>
      <c r="C229" s="579" t="s">
        <v>714</v>
      </c>
      <c r="D229" s="580">
        <f>H229</f>
        <v>1.1100000000000001</v>
      </c>
      <c r="E229" s="581" t="s">
        <v>734</v>
      </c>
      <c r="F229" s="582"/>
      <c r="G229" s="458" t="s">
        <v>34</v>
      </c>
      <c r="H229" s="566">
        <f>18.5*0.6*0.1</f>
        <v>1.1100000000000001</v>
      </c>
      <c r="I229" s="566" t="s">
        <v>34</v>
      </c>
      <c r="J229" s="592"/>
      <c r="K229" s="592" t="e">
        <f t="shared" si="1"/>
        <v>#VALUE!</v>
      </c>
      <c r="L229" s="488"/>
      <c r="N229" s="494"/>
      <c r="O229" s="495"/>
      <c r="P229" s="496"/>
      <c r="Q229" s="494"/>
      <c r="R229" s="526"/>
      <c r="S229" s="526"/>
    </row>
    <row r="230" spans="1:19" ht="48.75" customHeight="1">
      <c r="A230" s="74">
        <v>48</v>
      </c>
      <c r="B230" s="755"/>
      <c r="C230" s="1000" t="s">
        <v>912</v>
      </c>
      <c r="D230" s="1001"/>
      <c r="E230" s="1001"/>
      <c r="F230" s="1002"/>
      <c r="G230" s="379" t="s">
        <v>11</v>
      </c>
      <c r="H230" s="83">
        <f>H24*0.3</f>
        <v>0</v>
      </c>
      <c r="I230" s="83">
        <v>18.5</v>
      </c>
      <c r="J230" s="592">
        <v>87</v>
      </c>
      <c r="K230" s="592">
        <f t="shared" si="1"/>
        <v>1609.5</v>
      </c>
      <c r="L230" s="488"/>
      <c r="N230" s="494"/>
      <c r="O230" s="495"/>
      <c r="P230" s="496"/>
      <c r="Q230" s="494"/>
      <c r="R230" s="526"/>
      <c r="S230" s="526"/>
    </row>
    <row r="231" spans="1:19" ht="20.25" customHeight="1">
      <c r="A231" s="74"/>
      <c r="B231" s="755"/>
      <c r="C231" s="583" t="s">
        <v>712</v>
      </c>
      <c r="D231" s="584">
        <v>18.5</v>
      </c>
      <c r="E231" s="581" t="s">
        <v>11</v>
      </c>
      <c r="F231" s="585" t="s">
        <v>715</v>
      </c>
      <c r="G231" s="379" t="s">
        <v>34</v>
      </c>
      <c r="H231" s="83">
        <f>D231</f>
        <v>18.5</v>
      </c>
      <c r="I231" s="83" t="s">
        <v>34</v>
      </c>
      <c r="J231" s="592"/>
      <c r="K231" s="592" t="e">
        <f t="shared" si="1"/>
        <v>#VALUE!</v>
      </c>
      <c r="N231" s="497"/>
      <c r="O231" s="498"/>
      <c r="P231" s="499"/>
      <c r="Q231" s="500"/>
      <c r="R231" s="547"/>
      <c r="S231" s="526"/>
    </row>
    <row r="232" spans="1:19" s="319" customFormat="1" ht="15.75" hidden="1" customHeight="1">
      <c r="A232" s="270"/>
      <c r="B232" s="755"/>
      <c r="C232" s="604" t="s">
        <v>714</v>
      </c>
      <c r="D232" s="605">
        <f>H232</f>
        <v>11.1</v>
      </c>
      <c r="E232" s="606" t="s">
        <v>734</v>
      </c>
      <c r="F232" s="607"/>
      <c r="G232" s="593" t="s">
        <v>34</v>
      </c>
      <c r="H232" s="594">
        <f>18.5*0.6*1</f>
        <v>11.1</v>
      </c>
      <c r="I232" s="594" t="s">
        <v>34</v>
      </c>
      <c r="J232" s="608"/>
      <c r="K232" s="608" t="e">
        <f t="shared" si="1"/>
        <v>#VALUE!</v>
      </c>
      <c r="N232" s="497"/>
      <c r="O232" s="498"/>
      <c r="P232" s="501"/>
      <c r="Q232" s="502"/>
      <c r="R232" s="503"/>
      <c r="S232" s="570"/>
    </row>
    <row r="233" spans="1:19" s="319" customFormat="1" ht="21" hidden="1" customHeight="1">
      <c r="A233" s="270">
        <v>50</v>
      </c>
      <c r="B233" s="755"/>
      <c r="C233" s="1003" t="s">
        <v>867</v>
      </c>
      <c r="D233" s="1004"/>
      <c r="E233" s="1004"/>
      <c r="F233" s="1005"/>
      <c r="G233" s="593" t="s">
        <v>859</v>
      </c>
      <c r="H233" s="594">
        <f>H234</f>
        <v>1</v>
      </c>
      <c r="I233" s="594">
        <f>H234</f>
        <v>1</v>
      </c>
      <c r="J233" s="608">
        <v>2000</v>
      </c>
      <c r="K233" s="608">
        <f t="shared" si="1"/>
        <v>2000</v>
      </c>
      <c r="N233" s="497"/>
      <c r="O233" s="609"/>
      <c r="P233" s="610"/>
      <c r="Q233" s="497"/>
      <c r="R233" s="570"/>
      <c r="S233" s="570"/>
    </row>
    <row r="234" spans="1:19" s="319" customFormat="1" ht="30" hidden="1" customHeight="1">
      <c r="A234" s="611"/>
      <c r="B234" s="755"/>
      <c r="C234" s="598" t="s">
        <v>717</v>
      </c>
      <c r="D234" s="599">
        <f>H234</f>
        <v>1</v>
      </c>
      <c r="E234" s="600" t="s">
        <v>626</v>
      </c>
      <c r="F234" s="601" t="s">
        <v>865</v>
      </c>
      <c r="G234" s="596" t="s">
        <v>34</v>
      </c>
      <c r="H234" s="597">
        <v>1</v>
      </c>
      <c r="I234" s="597" t="s">
        <v>34</v>
      </c>
      <c r="J234" s="612"/>
      <c r="K234" s="612"/>
      <c r="N234" s="497"/>
      <c r="O234" s="609"/>
      <c r="P234" s="610"/>
      <c r="Q234" s="497"/>
      <c r="R234" s="570"/>
      <c r="S234" s="570"/>
    </row>
    <row r="235" spans="1:19" ht="15.75">
      <c r="A235" s="837" t="s">
        <v>898</v>
      </c>
      <c r="B235" s="838"/>
      <c r="C235" s="838"/>
      <c r="D235" s="838"/>
      <c r="E235" s="838"/>
      <c r="F235" s="838"/>
      <c r="G235" s="838"/>
      <c r="H235" s="838"/>
      <c r="I235" s="838"/>
      <c r="J235" s="839"/>
      <c r="K235" s="445" t="e">
        <f>K226+K228+K230+#REF!+K233</f>
        <v>#REF!</v>
      </c>
      <c r="L235" s="3"/>
    </row>
    <row r="236" spans="1:19" ht="51.75" customHeight="1">
      <c r="A236" s="840" t="s">
        <v>899</v>
      </c>
      <c r="B236" s="841"/>
      <c r="C236" s="841"/>
      <c r="D236" s="841"/>
      <c r="E236" s="841"/>
      <c r="F236" s="841"/>
      <c r="G236" s="841"/>
      <c r="H236" s="841"/>
      <c r="I236" s="841"/>
      <c r="J236" s="842"/>
      <c r="K236" s="403" t="e">
        <f>K235</f>
        <v>#REF!</v>
      </c>
      <c r="N236" s="494"/>
      <c r="O236" s="495"/>
      <c r="P236" s="496"/>
      <c r="Q236" s="494"/>
      <c r="R236" s="526"/>
      <c r="S236" s="526"/>
    </row>
    <row r="237" spans="1:19" ht="25.5" customHeight="1">
      <c r="A237" s="23" t="s">
        <v>639</v>
      </c>
      <c r="B237" s="761" t="s">
        <v>877</v>
      </c>
      <c r="C237" s="761"/>
      <c r="D237" s="761"/>
      <c r="E237" s="761"/>
      <c r="F237" s="761"/>
      <c r="G237" s="761"/>
      <c r="H237" s="761"/>
      <c r="I237" s="761"/>
      <c r="J237" s="761"/>
      <c r="K237" s="761"/>
      <c r="N237" s="494"/>
      <c r="O237" s="495"/>
      <c r="P237" s="496"/>
      <c r="Q237" s="494"/>
      <c r="R237" s="526"/>
      <c r="S237" s="526"/>
    </row>
    <row r="238" spans="1:19" ht="24" customHeight="1">
      <c r="A238" s="837" t="s">
        <v>898</v>
      </c>
      <c r="B238" s="838"/>
      <c r="C238" s="838"/>
      <c r="D238" s="838"/>
      <c r="E238" s="838"/>
      <c r="F238" s="838"/>
      <c r="G238" s="838"/>
      <c r="H238" s="838"/>
      <c r="I238" s="838"/>
      <c r="J238" s="839"/>
      <c r="K238" s="445" t="e">
        <f>K229+K231+K233+#REF!+K236</f>
        <v>#VALUE!</v>
      </c>
      <c r="L238" s="3"/>
    </row>
    <row r="239" spans="1:19" ht="51.75" customHeight="1">
      <c r="A239" s="840" t="s">
        <v>899</v>
      </c>
      <c r="B239" s="841"/>
      <c r="C239" s="841"/>
      <c r="D239" s="841"/>
      <c r="E239" s="841"/>
      <c r="F239" s="841"/>
      <c r="G239" s="841"/>
      <c r="H239" s="841"/>
      <c r="I239" s="841"/>
      <c r="J239" s="842"/>
      <c r="K239" s="403" t="e">
        <f>K238</f>
        <v>#VALUE!</v>
      </c>
      <c r="N239" s="494"/>
      <c r="O239" s="495"/>
      <c r="P239" s="496"/>
      <c r="Q239" s="494"/>
      <c r="R239" s="526"/>
      <c r="S239" s="526"/>
    </row>
    <row r="240" spans="1:19" ht="25.5" customHeight="1">
      <c r="A240" s="23" t="s">
        <v>639</v>
      </c>
      <c r="B240" s="761" t="s">
        <v>877</v>
      </c>
      <c r="C240" s="761"/>
      <c r="D240" s="761"/>
      <c r="E240" s="761"/>
      <c r="F240" s="761"/>
      <c r="G240" s="761"/>
      <c r="H240" s="761"/>
      <c r="I240" s="761"/>
      <c r="J240" s="761"/>
      <c r="K240" s="761"/>
      <c r="N240" s="494"/>
      <c r="O240" s="495"/>
      <c r="P240" s="496"/>
      <c r="Q240" s="494"/>
      <c r="R240" s="526"/>
      <c r="S240" s="526"/>
    </row>
    <row r="241" spans="1:19" ht="60.75" hidden="1" customHeight="1">
      <c r="A241" s="74"/>
      <c r="B241" s="631" t="s">
        <v>944</v>
      </c>
      <c r="C241" s="579" t="s">
        <v>942</v>
      </c>
      <c r="D241" s="580">
        <f>H241</f>
        <v>0</v>
      </c>
      <c r="E241" s="581" t="s">
        <v>734</v>
      </c>
      <c r="F241" s="582"/>
      <c r="G241" s="576" t="s">
        <v>11</v>
      </c>
      <c r="H241" s="576"/>
      <c r="I241" s="576"/>
      <c r="J241" s="592"/>
      <c r="K241" s="592">
        <f t="shared" ref="K241:K243" si="2">I241*J241</f>
        <v>0</v>
      </c>
      <c r="L241" s="488"/>
      <c r="N241" s="494"/>
      <c r="O241" s="495"/>
      <c r="P241" s="496"/>
      <c r="Q241" s="494"/>
      <c r="R241" s="526"/>
      <c r="S241" s="526"/>
    </row>
    <row r="242" spans="1:19" ht="39.75" customHeight="1">
      <c r="A242" s="74">
        <v>48</v>
      </c>
      <c r="B242" s="21" t="s">
        <v>868</v>
      </c>
      <c r="C242" s="1000" t="s">
        <v>943</v>
      </c>
      <c r="D242" s="1001"/>
      <c r="E242" s="1001"/>
      <c r="F242" s="1002"/>
      <c r="G242" s="619" t="s">
        <v>11</v>
      </c>
      <c r="H242" s="619">
        <f>11+15</f>
        <v>26</v>
      </c>
      <c r="I242" s="619"/>
      <c r="J242" s="592">
        <v>87</v>
      </c>
      <c r="K242" s="592">
        <f t="shared" si="2"/>
        <v>0</v>
      </c>
      <c r="L242" s="488"/>
      <c r="N242" s="494"/>
      <c r="O242" s="495"/>
      <c r="P242" s="496"/>
      <c r="Q242" s="494"/>
      <c r="R242" s="526"/>
      <c r="S242" s="526"/>
    </row>
    <row r="243" spans="1:19" ht="20.25" customHeight="1">
      <c r="A243" s="74"/>
      <c r="B243" s="630"/>
      <c r="C243" s="583" t="s">
        <v>712</v>
      </c>
      <c r="D243" s="584">
        <v>18.5</v>
      </c>
      <c r="E243" s="581" t="s">
        <v>11</v>
      </c>
      <c r="F243" s="585" t="s">
        <v>715</v>
      </c>
      <c r="G243" s="618"/>
      <c r="H243" s="618"/>
      <c r="I243" s="618"/>
      <c r="J243" s="592"/>
      <c r="K243" s="592">
        <f t="shared" si="2"/>
        <v>0</v>
      </c>
      <c r="N243" s="497"/>
      <c r="O243" s="498"/>
      <c r="P243" s="499"/>
      <c r="Q243" s="500"/>
      <c r="R243" s="547"/>
      <c r="S243" s="526"/>
    </row>
    <row r="244" spans="1:19" ht="30" customHeight="1">
      <c r="A244" s="629"/>
      <c r="B244" s="630"/>
      <c r="C244" s="620"/>
      <c r="D244" s="621"/>
      <c r="E244" s="621"/>
      <c r="F244" s="621"/>
      <c r="G244" s="621"/>
      <c r="H244" s="621"/>
      <c r="I244" s="621"/>
      <c r="J244" s="621"/>
      <c r="K244" s="622"/>
      <c r="N244" s="494"/>
      <c r="O244" s="495"/>
      <c r="P244" s="496"/>
      <c r="Q244" s="494"/>
      <c r="R244" s="526"/>
      <c r="S244" s="526"/>
    </row>
    <row r="245" spans="1:19" ht="21" hidden="1" customHeight="1">
      <c r="A245" s="64" t="s">
        <v>34</v>
      </c>
      <c r="B245" s="577" t="s">
        <v>857</v>
      </c>
      <c r="C245" s="989" t="s">
        <v>883</v>
      </c>
      <c r="D245" s="990"/>
      <c r="E245" s="990"/>
      <c r="F245" s="990"/>
      <c r="G245" s="990"/>
      <c r="H245" s="990"/>
      <c r="I245" s="990"/>
      <c r="J245" s="990"/>
      <c r="K245" s="991"/>
      <c r="N245" s="494"/>
      <c r="O245" s="495"/>
      <c r="P245" s="496"/>
      <c r="Q245" s="494"/>
      <c r="R245" s="526"/>
      <c r="S245" s="526"/>
    </row>
    <row r="246" spans="1:19" ht="33.75" hidden="1" customHeight="1">
      <c r="A246" s="1006">
        <v>51</v>
      </c>
      <c r="B246" s="1008" t="s">
        <v>884</v>
      </c>
      <c r="C246" s="1000" t="s">
        <v>907</v>
      </c>
      <c r="D246" s="1001"/>
      <c r="E246" s="1001"/>
      <c r="F246" s="1002"/>
      <c r="G246" s="458" t="s">
        <v>9</v>
      </c>
      <c r="H246" s="586">
        <v>5</v>
      </c>
      <c r="I246" s="586">
        <f>H247</f>
        <v>5</v>
      </c>
      <c r="J246" s="592">
        <v>2980</v>
      </c>
      <c r="K246" s="592">
        <f>I246*J246</f>
        <v>14900</v>
      </c>
      <c r="N246" s="494"/>
      <c r="O246" s="495"/>
      <c r="P246" s="496"/>
      <c r="Q246" s="494"/>
      <c r="R246" s="526"/>
      <c r="S246" s="526"/>
    </row>
    <row r="247" spans="1:19" ht="17.25" hidden="1" customHeight="1">
      <c r="A247" s="1007"/>
      <c r="B247" s="1009"/>
      <c r="C247" s="588" t="s">
        <v>717</v>
      </c>
      <c r="D247" s="589">
        <v>5</v>
      </c>
      <c r="E247" s="504" t="s">
        <v>9</v>
      </c>
      <c r="F247" s="585" t="s">
        <v>715</v>
      </c>
      <c r="G247" s="458" t="s">
        <v>34</v>
      </c>
      <c r="H247" s="566">
        <f>D247</f>
        <v>5</v>
      </c>
      <c r="I247" s="566" t="s">
        <v>34</v>
      </c>
      <c r="J247" s="592"/>
      <c r="K247" s="592" t="e">
        <f t="shared" ref="K247:K261" si="3">I247*J247</f>
        <v>#VALUE!</v>
      </c>
      <c r="N247" s="494"/>
      <c r="O247" s="495"/>
      <c r="P247" s="496"/>
      <c r="Q247" s="494"/>
      <c r="R247" s="526"/>
      <c r="S247" s="526"/>
    </row>
    <row r="248" spans="1:19" ht="22.5" hidden="1" customHeight="1">
      <c r="A248" s="1006"/>
      <c r="B248" s="1008" t="s">
        <v>885</v>
      </c>
      <c r="C248" s="1010" t="s">
        <v>879</v>
      </c>
      <c r="D248" s="1010"/>
      <c r="E248" s="1010"/>
      <c r="F248" s="1010"/>
      <c r="G248" s="458" t="s">
        <v>9</v>
      </c>
      <c r="H248" s="566" t="s">
        <v>34</v>
      </c>
      <c r="I248" s="566">
        <f>H249</f>
        <v>5</v>
      </c>
      <c r="J248" s="592"/>
      <c r="K248" s="592">
        <f t="shared" si="3"/>
        <v>0</v>
      </c>
      <c r="N248" s="494"/>
      <c r="O248" s="495"/>
      <c r="P248" s="496"/>
      <c r="Q248" s="494"/>
      <c r="R248" s="526"/>
      <c r="S248" s="526"/>
    </row>
    <row r="249" spans="1:19" ht="21.75" hidden="1" customHeight="1">
      <c r="A249" s="1007"/>
      <c r="B249" s="1009"/>
      <c r="C249" s="588" t="s">
        <v>717</v>
      </c>
      <c r="D249" s="589">
        <v>5</v>
      </c>
      <c r="E249" s="504" t="s">
        <v>9</v>
      </c>
      <c r="F249" s="590"/>
      <c r="G249" s="458" t="s">
        <v>34</v>
      </c>
      <c r="H249" s="566">
        <f>D249</f>
        <v>5</v>
      </c>
      <c r="I249" s="566" t="s">
        <v>34</v>
      </c>
      <c r="J249" s="592"/>
      <c r="K249" s="592" t="e">
        <f t="shared" si="3"/>
        <v>#VALUE!</v>
      </c>
      <c r="N249" s="494"/>
      <c r="O249" s="495"/>
      <c r="P249" s="496"/>
      <c r="Q249" s="494"/>
      <c r="R249" s="526"/>
      <c r="S249" s="526"/>
    </row>
    <row r="250" spans="1:19" ht="33.75" hidden="1" customHeight="1">
      <c r="A250" s="1006">
        <v>52</v>
      </c>
      <c r="B250" s="1008" t="s">
        <v>886</v>
      </c>
      <c r="C250" s="1010" t="s">
        <v>908</v>
      </c>
      <c r="D250" s="1010"/>
      <c r="E250" s="1010"/>
      <c r="F250" s="1010"/>
      <c r="G250" s="458" t="s">
        <v>11</v>
      </c>
      <c r="H250" s="566">
        <f>H251</f>
        <v>718</v>
      </c>
      <c r="I250" s="566">
        <f>H251</f>
        <v>718</v>
      </c>
      <c r="J250" s="592">
        <v>210</v>
      </c>
      <c r="K250" s="592">
        <f t="shared" si="3"/>
        <v>150780</v>
      </c>
      <c r="N250" s="494"/>
      <c r="O250" s="495"/>
      <c r="P250" s="496"/>
      <c r="Q250" s="494"/>
      <c r="R250" s="526"/>
      <c r="S250" s="526"/>
    </row>
    <row r="251" spans="1:19" ht="23.25" hidden="1" customHeight="1">
      <c r="A251" s="1007"/>
      <c r="B251" s="1009"/>
      <c r="C251" s="591" t="s">
        <v>712</v>
      </c>
      <c r="D251" s="589">
        <v>718</v>
      </c>
      <c r="E251" s="504" t="s">
        <v>11</v>
      </c>
      <c r="F251" s="585" t="s">
        <v>893</v>
      </c>
      <c r="G251" s="458" t="s">
        <v>34</v>
      </c>
      <c r="H251" s="566">
        <f>D251</f>
        <v>718</v>
      </c>
      <c r="I251" s="566" t="s">
        <v>34</v>
      </c>
      <c r="J251" s="592"/>
      <c r="K251" s="592" t="e">
        <f t="shared" si="3"/>
        <v>#VALUE!</v>
      </c>
      <c r="N251" s="494"/>
      <c r="O251" s="495"/>
      <c r="P251" s="496"/>
      <c r="Q251" s="494"/>
      <c r="R251" s="526"/>
      <c r="S251" s="526"/>
    </row>
    <row r="252" spans="1:19" ht="25.5" hidden="1" customHeight="1">
      <c r="A252" s="1006">
        <v>53</v>
      </c>
      <c r="B252" s="1008" t="s">
        <v>887</v>
      </c>
      <c r="C252" s="1000" t="s">
        <v>909</v>
      </c>
      <c r="D252" s="1001"/>
      <c r="E252" s="1001"/>
      <c r="F252" s="1002"/>
      <c r="G252" s="458" t="s">
        <v>11</v>
      </c>
      <c r="H252" s="566">
        <f>H253</f>
        <v>285</v>
      </c>
      <c r="I252" s="566">
        <f>H253</f>
        <v>285</v>
      </c>
      <c r="J252" s="592">
        <v>67.7</v>
      </c>
      <c r="K252" s="592">
        <f t="shared" si="3"/>
        <v>19294.5</v>
      </c>
      <c r="N252" s="494"/>
      <c r="O252" s="495"/>
      <c r="P252" s="496"/>
      <c r="Q252" s="494"/>
      <c r="R252" s="526"/>
      <c r="S252" s="526"/>
    </row>
    <row r="253" spans="1:19" ht="26.25" hidden="1" customHeight="1">
      <c r="A253" s="1007"/>
      <c r="B253" s="1009"/>
      <c r="C253" s="591" t="s">
        <v>712</v>
      </c>
      <c r="D253" s="589">
        <f>4+16+7+2+9+8+12+11+9+11+8+2+13+10+13+25+20+9+3+3+4+16+3+2*19+19+10</f>
        <v>285</v>
      </c>
      <c r="E253" s="504" t="s">
        <v>11</v>
      </c>
      <c r="F253" s="585" t="s">
        <v>893</v>
      </c>
      <c r="G253" s="458" t="s">
        <v>34</v>
      </c>
      <c r="H253" s="566">
        <f>D253</f>
        <v>285</v>
      </c>
      <c r="I253" s="566" t="s">
        <v>34</v>
      </c>
      <c r="J253" s="592"/>
      <c r="K253" s="592" t="e">
        <f t="shared" si="3"/>
        <v>#VALUE!</v>
      </c>
      <c r="N253" s="494"/>
      <c r="O253" s="495"/>
      <c r="P253" s="496"/>
      <c r="Q253" s="494"/>
      <c r="R253" s="526"/>
      <c r="S253" s="526"/>
    </row>
    <row r="254" spans="1:19" ht="25.5" hidden="1" customHeight="1">
      <c r="A254" s="1006"/>
      <c r="B254" s="1008" t="s">
        <v>888</v>
      </c>
      <c r="C254" s="1000" t="s">
        <v>880</v>
      </c>
      <c r="D254" s="1001"/>
      <c r="E254" s="1001"/>
      <c r="F254" s="1002"/>
      <c r="G254" s="458" t="s">
        <v>11</v>
      </c>
      <c r="H254" s="566" t="s">
        <v>34</v>
      </c>
      <c r="I254" s="566">
        <f>H255</f>
        <v>718</v>
      </c>
      <c r="J254" s="592"/>
      <c r="K254" s="592">
        <f t="shared" si="3"/>
        <v>0</v>
      </c>
      <c r="N254" s="494"/>
      <c r="O254" s="495"/>
      <c r="P254" s="496"/>
      <c r="Q254" s="494"/>
      <c r="R254" s="526"/>
      <c r="S254" s="526"/>
    </row>
    <row r="255" spans="1:19" ht="24" hidden="1" customHeight="1">
      <c r="A255" s="1007"/>
      <c r="B255" s="1009"/>
      <c r="C255" s="591" t="s">
        <v>712</v>
      </c>
      <c r="D255" s="589">
        <v>718</v>
      </c>
      <c r="E255" s="504" t="s">
        <v>11</v>
      </c>
      <c r="F255" s="585" t="s">
        <v>893</v>
      </c>
      <c r="G255" s="458" t="s">
        <v>34</v>
      </c>
      <c r="H255" s="566">
        <f>D255</f>
        <v>718</v>
      </c>
      <c r="I255" s="566" t="s">
        <v>34</v>
      </c>
      <c r="J255" s="592"/>
      <c r="K255" s="592" t="e">
        <f t="shared" si="3"/>
        <v>#VALUE!</v>
      </c>
      <c r="N255" s="494"/>
      <c r="O255" s="495"/>
      <c r="P255" s="496"/>
      <c r="Q255" s="494"/>
      <c r="R255" s="526"/>
      <c r="S255" s="526"/>
    </row>
    <row r="256" spans="1:19" ht="23.25" hidden="1" customHeight="1">
      <c r="A256" s="1006"/>
      <c r="B256" s="1008" t="s">
        <v>888</v>
      </c>
      <c r="C256" s="1000" t="s">
        <v>946</v>
      </c>
      <c r="D256" s="1001"/>
      <c r="E256" s="1001"/>
      <c r="F256" s="1002"/>
      <c r="G256" s="458" t="s">
        <v>11</v>
      </c>
      <c r="H256" s="566" t="s">
        <v>34</v>
      </c>
      <c r="I256" s="566">
        <f>H257</f>
        <v>481</v>
      </c>
      <c r="J256" s="592"/>
      <c r="K256" s="592">
        <f t="shared" si="3"/>
        <v>0</v>
      </c>
      <c r="N256" s="494"/>
      <c r="O256" s="495"/>
      <c r="P256" s="496"/>
      <c r="Q256" s="494"/>
      <c r="R256" s="526"/>
      <c r="S256" s="526"/>
    </row>
    <row r="257" spans="1:19" ht="31.5" customHeight="1">
      <c r="A257" s="1007"/>
      <c r="B257" s="1009"/>
      <c r="C257" s="591" t="s">
        <v>947</v>
      </c>
      <c r="D257" s="589">
        <f>718*2</f>
        <v>1436</v>
      </c>
      <c r="E257" s="504" t="s">
        <v>11</v>
      </c>
      <c r="F257" s="585" t="s">
        <v>893</v>
      </c>
      <c r="G257" s="458" t="s">
        <v>34</v>
      </c>
      <c r="H257" s="566">
        <v>481</v>
      </c>
      <c r="I257" s="566" t="s">
        <v>34</v>
      </c>
      <c r="J257" s="592"/>
      <c r="K257" s="592" t="e">
        <f t="shared" si="3"/>
        <v>#VALUE!</v>
      </c>
      <c r="N257" s="494"/>
      <c r="O257" s="495"/>
      <c r="P257" s="496"/>
      <c r="Q257" s="494"/>
      <c r="R257" s="526"/>
      <c r="S257" s="526"/>
    </row>
    <row r="258" spans="1:19" ht="21.75" customHeight="1">
      <c r="A258" s="1006">
        <v>54</v>
      </c>
      <c r="B258" s="1008" t="s">
        <v>889</v>
      </c>
      <c r="C258" s="1000" t="s">
        <v>881</v>
      </c>
      <c r="D258" s="1001"/>
      <c r="E258" s="1001"/>
      <c r="F258" s="1002"/>
      <c r="G258" s="458" t="s">
        <v>9</v>
      </c>
      <c r="H258" s="566">
        <f>H259</f>
        <v>10</v>
      </c>
      <c r="I258" s="566">
        <f>H259</f>
        <v>10</v>
      </c>
      <c r="J258" s="592">
        <v>503</v>
      </c>
      <c r="K258" s="592">
        <f t="shared" si="3"/>
        <v>5030</v>
      </c>
      <c r="N258" s="494"/>
      <c r="O258" s="495"/>
      <c r="P258" s="496"/>
      <c r="Q258" s="494"/>
      <c r="R258" s="526"/>
      <c r="S258" s="526"/>
    </row>
    <row r="259" spans="1:19" ht="21.75" hidden="1" customHeight="1">
      <c r="A259" s="1007"/>
      <c r="B259" s="1009"/>
      <c r="C259" s="588" t="s">
        <v>717</v>
      </c>
      <c r="D259" s="589">
        <v>10</v>
      </c>
      <c r="E259" s="504" t="s">
        <v>9</v>
      </c>
      <c r="F259" s="585" t="s">
        <v>893</v>
      </c>
      <c r="G259" s="458" t="s">
        <v>34</v>
      </c>
      <c r="H259" s="566">
        <f>D259</f>
        <v>10</v>
      </c>
      <c r="I259" s="566" t="s">
        <v>34</v>
      </c>
      <c r="J259" s="592"/>
      <c r="K259" s="592" t="e">
        <f t="shared" si="3"/>
        <v>#VALUE!</v>
      </c>
      <c r="N259" s="494"/>
      <c r="O259" s="495"/>
      <c r="P259" s="496"/>
      <c r="Q259" s="494"/>
      <c r="R259" s="526"/>
      <c r="S259" s="526"/>
    </row>
    <row r="260" spans="1:19" ht="21" hidden="1" customHeight="1">
      <c r="A260" s="578"/>
      <c r="B260" s="587"/>
      <c r="C260" s="591" t="s">
        <v>712</v>
      </c>
      <c r="D260" s="589">
        <v>718</v>
      </c>
      <c r="E260" s="504" t="s">
        <v>11</v>
      </c>
      <c r="F260" s="585" t="s">
        <v>893</v>
      </c>
      <c r="G260" s="458" t="s">
        <v>34</v>
      </c>
      <c r="H260" s="566">
        <f>D260</f>
        <v>718</v>
      </c>
      <c r="I260" s="566" t="s">
        <v>34</v>
      </c>
      <c r="J260" s="592"/>
      <c r="K260" s="592" t="e">
        <f t="shared" si="3"/>
        <v>#VALUE!</v>
      </c>
      <c r="N260" s="494"/>
      <c r="O260" s="495"/>
      <c r="P260" s="496"/>
      <c r="Q260" s="494"/>
      <c r="R260" s="526"/>
      <c r="S260" s="526"/>
    </row>
    <row r="261" spans="1:19" ht="28.5" customHeight="1">
      <c r="A261" s="1006">
        <v>55</v>
      </c>
      <c r="B261" s="1008" t="s">
        <v>890</v>
      </c>
      <c r="C261" s="1000" t="s">
        <v>895</v>
      </c>
      <c r="D261" s="1001"/>
      <c r="E261" s="1001"/>
      <c r="F261" s="1002"/>
      <c r="G261" s="458" t="s">
        <v>859</v>
      </c>
      <c r="H261" s="566">
        <f>H262</f>
        <v>1</v>
      </c>
      <c r="I261" s="566">
        <f>H262</f>
        <v>1</v>
      </c>
      <c r="J261" s="592">
        <v>1800</v>
      </c>
      <c r="K261" s="592">
        <f t="shared" si="3"/>
        <v>1800</v>
      </c>
      <c r="N261" s="494"/>
      <c r="O261" s="495"/>
      <c r="P261" s="496"/>
      <c r="Q261" s="494"/>
      <c r="R261" s="526"/>
      <c r="S261" s="526"/>
    </row>
    <row r="262" spans="1:19" ht="21" hidden="1" customHeight="1">
      <c r="A262" s="1007"/>
      <c r="B262" s="1009"/>
      <c r="C262" s="591" t="s">
        <v>717</v>
      </c>
      <c r="D262" s="589">
        <v>1</v>
      </c>
      <c r="E262" s="504" t="s">
        <v>626</v>
      </c>
      <c r="F262" s="585"/>
      <c r="G262" s="458" t="s">
        <v>34</v>
      </c>
      <c r="H262" s="566">
        <f>D262</f>
        <v>1</v>
      </c>
      <c r="I262" s="568" t="s">
        <v>34</v>
      </c>
      <c r="J262" s="521"/>
      <c r="K262" s="521"/>
      <c r="N262" s="494"/>
      <c r="O262" s="495"/>
      <c r="P262" s="496"/>
      <c r="Q262" s="494"/>
      <c r="R262" s="526"/>
      <c r="S262" s="526"/>
    </row>
    <row r="263" spans="1:19" ht="15.75">
      <c r="A263" s="837" t="s">
        <v>902</v>
      </c>
      <c r="B263" s="838"/>
      <c r="C263" s="838"/>
      <c r="D263" s="838"/>
      <c r="E263" s="838"/>
      <c r="F263" s="838"/>
      <c r="G263" s="838"/>
      <c r="H263" s="838"/>
      <c r="I263" s="838"/>
      <c r="J263" s="839"/>
      <c r="K263" s="445">
        <f>K246+K250+K252+K258+K261</f>
        <v>191804.5</v>
      </c>
      <c r="L263" s="3"/>
    </row>
    <row r="264" spans="1:19" ht="25.5">
      <c r="A264" s="24" t="s">
        <v>188</v>
      </c>
      <c r="B264" s="21" t="s">
        <v>868</v>
      </c>
      <c r="C264" s="880" t="s">
        <v>891</v>
      </c>
      <c r="D264" s="881"/>
      <c r="E264" s="881"/>
      <c r="F264" s="881"/>
      <c r="G264" s="881"/>
      <c r="H264" s="881"/>
      <c r="I264" s="881"/>
      <c r="J264" s="881"/>
      <c r="K264" s="882"/>
      <c r="N264" s="494"/>
      <c r="O264" s="495"/>
      <c r="P264" s="496"/>
      <c r="Q264" s="494"/>
      <c r="R264" s="526"/>
      <c r="S264" s="526"/>
    </row>
    <row r="265" spans="1:19" ht="17.25" customHeight="1">
      <c r="A265" s="64" t="s">
        <v>34</v>
      </c>
      <c r="B265" s="562" t="s">
        <v>869</v>
      </c>
      <c r="C265" s="989" t="s">
        <v>870</v>
      </c>
      <c r="D265" s="990"/>
      <c r="E265" s="990"/>
      <c r="F265" s="990"/>
      <c r="G265" s="990"/>
      <c r="H265" s="990"/>
      <c r="I265" s="990"/>
      <c r="J265" s="990"/>
      <c r="K265" s="991"/>
      <c r="N265" s="494"/>
      <c r="O265" s="495"/>
      <c r="P265" s="496"/>
      <c r="Q265" s="494"/>
      <c r="R265" s="526"/>
      <c r="S265" s="526"/>
    </row>
    <row r="266" spans="1:19" ht="18.75" customHeight="1">
      <c r="A266" s="74">
        <v>56</v>
      </c>
      <c r="B266" s="755" t="s">
        <v>869</v>
      </c>
      <c r="C266" s="1000" t="s">
        <v>862</v>
      </c>
      <c r="D266" s="1001"/>
      <c r="E266" s="1001"/>
      <c r="F266" s="1002"/>
      <c r="G266" s="458" t="s">
        <v>734</v>
      </c>
      <c r="H266" s="566">
        <f>H267</f>
        <v>54</v>
      </c>
      <c r="I266" s="566">
        <f>H267</f>
        <v>54</v>
      </c>
      <c r="J266" s="592">
        <v>120</v>
      </c>
      <c r="K266" s="592">
        <f>I266*J266</f>
        <v>6480</v>
      </c>
      <c r="N266" s="494"/>
      <c r="O266" s="495"/>
      <c r="P266" s="496"/>
      <c r="Q266" s="494"/>
      <c r="R266" s="526"/>
      <c r="S266" s="526"/>
    </row>
    <row r="267" spans="1:19" ht="21" hidden="1" customHeight="1">
      <c r="A267" s="74"/>
      <c r="B267" s="755"/>
      <c r="C267" s="579" t="s">
        <v>714</v>
      </c>
      <c r="D267" s="589">
        <f>H267</f>
        <v>54</v>
      </c>
      <c r="E267" s="581" t="s">
        <v>734</v>
      </c>
      <c r="F267" s="582"/>
      <c r="G267" s="458" t="s">
        <v>34</v>
      </c>
      <c r="H267" s="566">
        <f>H271*0.6*1.2</f>
        <v>54</v>
      </c>
      <c r="I267" s="566" t="s">
        <v>34</v>
      </c>
      <c r="J267" s="592"/>
      <c r="K267" s="592" t="e">
        <f t="shared" ref="K267:K274" si="4">I267*J267</f>
        <v>#VALUE!</v>
      </c>
      <c r="N267" s="494"/>
      <c r="O267" s="495"/>
      <c r="P267" s="496"/>
      <c r="Q267" s="494"/>
      <c r="R267" s="526"/>
      <c r="S267" s="526"/>
    </row>
    <row r="268" spans="1:19" ht="21" customHeight="1">
      <c r="A268" s="74">
        <v>57</v>
      </c>
      <c r="B268" s="755"/>
      <c r="C268" s="1000" t="s">
        <v>863</v>
      </c>
      <c r="D268" s="1001"/>
      <c r="E268" s="1001"/>
      <c r="F268" s="1002"/>
      <c r="G268" s="458" t="s">
        <v>734</v>
      </c>
      <c r="H268" s="566">
        <f>H269</f>
        <v>4.5</v>
      </c>
      <c r="I268" s="566">
        <f>H269</f>
        <v>4.5</v>
      </c>
      <c r="J268" s="592">
        <v>2.5</v>
      </c>
      <c r="K268" s="592">
        <f t="shared" si="4"/>
        <v>11.25</v>
      </c>
      <c r="N268" s="494"/>
      <c r="O268" s="495"/>
      <c r="P268" s="496"/>
      <c r="Q268" s="494"/>
      <c r="R268" s="526"/>
      <c r="S268" s="526"/>
    </row>
    <row r="269" spans="1:19" ht="18.75" hidden="1" customHeight="1">
      <c r="A269" s="74"/>
      <c r="B269" s="755"/>
      <c r="C269" s="579" t="s">
        <v>714</v>
      </c>
      <c r="D269" s="589">
        <f>H269</f>
        <v>4.5</v>
      </c>
      <c r="E269" s="581" t="s">
        <v>734</v>
      </c>
      <c r="F269" s="582"/>
      <c r="G269" s="458" t="s">
        <v>34</v>
      </c>
      <c r="H269" s="566">
        <f>H271*0.6*0.1</f>
        <v>4.5</v>
      </c>
      <c r="I269" s="566" t="s">
        <v>34</v>
      </c>
      <c r="J269" s="592"/>
      <c r="K269" s="592" t="e">
        <f t="shared" si="4"/>
        <v>#VALUE!</v>
      </c>
      <c r="N269" s="494"/>
      <c r="O269" s="495"/>
      <c r="P269" s="496"/>
      <c r="Q269" s="494"/>
      <c r="R269" s="526"/>
      <c r="S269" s="526"/>
    </row>
    <row r="270" spans="1:19" ht="30.75" customHeight="1">
      <c r="A270" s="74">
        <v>58</v>
      </c>
      <c r="B270" s="755"/>
      <c r="C270" s="1000" t="s">
        <v>871</v>
      </c>
      <c r="D270" s="1001"/>
      <c r="E270" s="1001"/>
      <c r="F270" s="1002"/>
      <c r="G270" s="379" t="s">
        <v>11</v>
      </c>
      <c r="H270" s="83">
        <f>H271</f>
        <v>75</v>
      </c>
      <c r="I270" s="83">
        <f>H271</f>
        <v>75</v>
      </c>
      <c r="J270" s="592">
        <v>102</v>
      </c>
      <c r="K270" s="592">
        <f t="shared" si="4"/>
        <v>7650</v>
      </c>
      <c r="N270" s="494"/>
      <c r="O270" s="495"/>
      <c r="P270" s="496"/>
      <c r="Q270" s="494"/>
      <c r="R270" s="526"/>
      <c r="S270" s="526"/>
    </row>
    <row r="271" spans="1:19" ht="18.75" hidden="1" customHeight="1">
      <c r="A271" s="74"/>
      <c r="B271" s="755"/>
      <c r="C271" s="583" t="s">
        <v>712</v>
      </c>
      <c r="D271" s="589">
        <v>75</v>
      </c>
      <c r="E271" s="581" t="s">
        <v>11</v>
      </c>
      <c r="F271" s="585" t="s">
        <v>715</v>
      </c>
      <c r="G271" s="379" t="s">
        <v>34</v>
      </c>
      <c r="H271" s="83">
        <f>D271</f>
        <v>75</v>
      </c>
      <c r="I271" s="83" t="s">
        <v>34</v>
      </c>
      <c r="J271" s="592"/>
      <c r="K271" s="592" t="e">
        <f t="shared" si="4"/>
        <v>#VALUE!</v>
      </c>
      <c r="N271" s="494"/>
      <c r="O271" s="495"/>
      <c r="P271" s="496"/>
      <c r="Q271" s="494"/>
      <c r="R271" s="526"/>
      <c r="S271" s="526"/>
    </row>
    <row r="272" spans="1:19" ht="17.25" customHeight="1">
      <c r="A272" s="74">
        <v>59</v>
      </c>
      <c r="B272" s="755"/>
      <c r="C272" s="1000" t="s">
        <v>864</v>
      </c>
      <c r="D272" s="1001"/>
      <c r="E272" s="1001"/>
      <c r="F272" s="1002"/>
      <c r="G272" s="458" t="s">
        <v>734</v>
      </c>
      <c r="H272" s="566">
        <f>H273</f>
        <v>45</v>
      </c>
      <c r="I272" s="566">
        <f>H273</f>
        <v>45</v>
      </c>
      <c r="J272" s="592">
        <v>80</v>
      </c>
      <c r="K272" s="592">
        <f t="shared" si="4"/>
        <v>3600</v>
      </c>
      <c r="N272" s="494"/>
      <c r="O272" s="495"/>
      <c r="P272" s="496"/>
      <c r="Q272" s="494"/>
      <c r="R272" s="526"/>
      <c r="S272" s="526"/>
    </row>
    <row r="273" spans="1:19" ht="16.5" hidden="1" customHeight="1">
      <c r="A273" s="74"/>
      <c r="B273" s="755"/>
      <c r="C273" s="579" t="s">
        <v>714</v>
      </c>
      <c r="D273" s="589">
        <f>H273</f>
        <v>45</v>
      </c>
      <c r="E273" s="581" t="s">
        <v>734</v>
      </c>
      <c r="F273" s="582"/>
      <c r="G273" s="458" t="s">
        <v>34</v>
      </c>
      <c r="H273" s="566">
        <f>H271*0.6*1</f>
        <v>45</v>
      </c>
      <c r="I273" s="566" t="s">
        <v>34</v>
      </c>
      <c r="J273" s="592"/>
      <c r="K273" s="592" t="e">
        <f t="shared" si="4"/>
        <v>#VALUE!</v>
      </c>
      <c r="N273" s="494"/>
      <c r="O273" s="495"/>
      <c r="P273" s="496"/>
      <c r="Q273" s="494"/>
      <c r="R273" s="526"/>
      <c r="S273" s="526"/>
    </row>
    <row r="274" spans="1:19" ht="22.5" customHeight="1">
      <c r="A274" s="74">
        <v>60</v>
      </c>
      <c r="B274" s="755"/>
      <c r="C274" s="1000" t="s">
        <v>867</v>
      </c>
      <c r="D274" s="1001"/>
      <c r="E274" s="1001"/>
      <c r="F274" s="1002"/>
      <c r="G274" s="458" t="s">
        <v>859</v>
      </c>
      <c r="H274" s="566">
        <f>H275</f>
        <v>1</v>
      </c>
      <c r="I274" s="566">
        <f>H275</f>
        <v>1</v>
      </c>
      <c r="J274" s="592">
        <v>2000</v>
      </c>
      <c r="K274" s="592">
        <f t="shared" si="4"/>
        <v>2000</v>
      </c>
      <c r="N274" s="494"/>
      <c r="O274" s="495"/>
      <c r="P274" s="496"/>
      <c r="Q274" s="494"/>
      <c r="R274" s="526"/>
      <c r="S274" s="526"/>
    </row>
    <row r="275" spans="1:19" ht="70.5" hidden="1" customHeight="1">
      <c r="A275" s="563"/>
      <c r="B275" s="755"/>
      <c r="C275" s="557" t="s">
        <v>717</v>
      </c>
      <c r="D275" s="558">
        <f>H275</f>
        <v>1</v>
      </c>
      <c r="E275" s="559" t="s">
        <v>626</v>
      </c>
      <c r="F275" s="560" t="s">
        <v>865</v>
      </c>
      <c r="G275" s="567" t="s">
        <v>34</v>
      </c>
      <c r="H275" s="568">
        <v>1</v>
      </c>
      <c r="I275" s="568" t="s">
        <v>34</v>
      </c>
      <c r="J275" s="521"/>
      <c r="K275" s="521"/>
      <c r="N275" s="494"/>
      <c r="O275" s="495"/>
      <c r="P275" s="496"/>
      <c r="Q275" s="494"/>
      <c r="R275" s="526"/>
      <c r="S275" s="526"/>
    </row>
    <row r="276" spans="1:19" ht="22.5" customHeight="1">
      <c r="A276" s="837" t="s">
        <v>903</v>
      </c>
      <c r="B276" s="838"/>
      <c r="C276" s="838"/>
      <c r="D276" s="838"/>
      <c r="E276" s="838"/>
      <c r="F276" s="838"/>
      <c r="G276" s="838"/>
      <c r="H276" s="838"/>
      <c r="I276" s="838"/>
      <c r="J276" s="839"/>
      <c r="K276" s="445">
        <f>K266+K268+K270+K272+K274</f>
        <v>19741.25</v>
      </c>
      <c r="L276" s="3"/>
    </row>
    <row r="277" spans="1:19" ht="15.75">
      <c r="A277" s="840" t="s">
        <v>900</v>
      </c>
      <c r="B277" s="841"/>
      <c r="C277" s="841"/>
      <c r="D277" s="841"/>
      <c r="E277" s="841"/>
      <c r="F277" s="841"/>
      <c r="G277" s="841"/>
      <c r="H277" s="841"/>
      <c r="I277" s="841"/>
      <c r="J277" s="842"/>
      <c r="K277" s="403">
        <f>K263+K276</f>
        <v>211545.75</v>
      </c>
      <c r="N277" s="494"/>
      <c r="O277" s="495"/>
      <c r="P277" s="496"/>
      <c r="Q277" s="494"/>
      <c r="R277" s="526"/>
      <c r="S277" s="526"/>
    </row>
    <row r="278" spans="1:19" ht="21" customHeight="1">
      <c r="A278" s="23" t="s">
        <v>866</v>
      </c>
      <c r="B278" s="761" t="s">
        <v>860</v>
      </c>
      <c r="C278" s="761"/>
      <c r="D278" s="761"/>
      <c r="E278" s="761"/>
      <c r="F278" s="761"/>
      <c r="G278" s="761"/>
      <c r="H278" s="761"/>
      <c r="I278" s="761"/>
      <c r="J278" s="761"/>
      <c r="K278" s="761"/>
      <c r="N278" s="494"/>
      <c r="O278" s="495"/>
      <c r="P278" s="496"/>
      <c r="Q278" s="494"/>
      <c r="R278" s="526"/>
      <c r="S278" s="526"/>
    </row>
    <row r="279" spans="1:19" ht="67.5" customHeight="1">
      <c r="A279" s="24" t="s">
        <v>904</v>
      </c>
      <c r="B279" s="21" t="s">
        <v>873</v>
      </c>
      <c r="C279" s="735" t="s">
        <v>872</v>
      </c>
      <c r="D279" s="735"/>
      <c r="E279" s="735"/>
      <c r="F279" s="735"/>
      <c r="G279" s="735"/>
      <c r="H279" s="735"/>
      <c r="I279" s="735"/>
      <c r="J279" s="735"/>
      <c r="K279" s="735"/>
      <c r="N279" s="494"/>
      <c r="O279" s="495"/>
      <c r="P279" s="496"/>
      <c r="Q279" s="494"/>
      <c r="R279" s="526"/>
      <c r="S279" s="526"/>
    </row>
    <row r="280" spans="1:19" ht="21" customHeight="1">
      <c r="A280" s="64" t="s">
        <v>34</v>
      </c>
      <c r="B280" s="577" t="s">
        <v>869</v>
      </c>
      <c r="C280" s="989" t="s">
        <v>896</v>
      </c>
      <c r="D280" s="990"/>
      <c r="E280" s="990"/>
      <c r="F280" s="990"/>
      <c r="G280" s="990"/>
      <c r="H280" s="990"/>
      <c r="I280" s="990"/>
      <c r="J280" s="990"/>
      <c r="K280" s="991"/>
      <c r="N280" s="494"/>
      <c r="O280" s="495"/>
      <c r="P280" s="496"/>
      <c r="Q280" s="494"/>
      <c r="R280" s="526"/>
      <c r="S280" s="526"/>
    </row>
    <row r="281" spans="1:19" ht="38.25" customHeight="1">
      <c r="A281" s="74">
        <v>61</v>
      </c>
      <c r="B281" s="846" t="s">
        <v>911</v>
      </c>
      <c r="C281" s="1000" t="s">
        <v>874</v>
      </c>
      <c r="D281" s="1001"/>
      <c r="E281" s="1001"/>
      <c r="F281" s="1002"/>
      <c r="G281" s="458" t="s">
        <v>734</v>
      </c>
      <c r="H281" s="566">
        <f>H282</f>
        <v>4.32</v>
      </c>
      <c r="I281" s="566">
        <f>H282</f>
        <v>4.32</v>
      </c>
      <c r="J281" s="592">
        <v>120</v>
      </c>
      <c r="K281" s="592">
        <f>I281*J281</f>
        <v>518.4</v>
      </c>
      <c r="N281" s="494"/>
      <c r="O281" s="495"/>
      <c r="P281" s="496"/>
      <c r="Q281" s="494"/>
      <c r="R281" s="526"/>
      <c r="S281" s="526"/>
    </row>
    <row r="282" spans="1:19" ht="21" hidden="1" customHeight="1">
      <c r="A282" s="74"/>
      <c r="B282" s="910"/>
      <c r="C282" s="579" t="s">
        <v>714</v>
      </c>
      <c r="D282" s="589">
        <f>H282</f>
        <v>4.32</v>
      </c>
      <c r="E282" s="581" t="s">
        <v>734</v>
      </c>
      <c r="F282" s="582"/>
      <c r="G282" s="458" t="s">
        <v>34</v>
      </c>
      <c r="H282" s="566">
        <f>H286*0.6*1.2</f>
        <v>4.32</v>
      </c>
      <c r="I282" s="566" t="s">
        <v>34</v>
      </c>
      <c r="J282" s="521"/>
      <c r="K282" s="592" t="e">
        <f t="shared" ref="K282:K289" si="5">I282*J282</f>
        <v>#VALUE!</v>
      </c>
      <c r="N282" s="494"/>
      <c r="O282" s="495"/>
      <c r="P282" s="496"/>
      <c r="Q282" s="494"/>
      <c r="R282" s="526"/>
      <c r="S282" s="526"/>
    </row>
    <row r="283" spans="1:19" ht="18" customHeight="1">
      <c r="A283" s="74">
        <v>62</v>
      </c>
      <c r="B283" s="910"/>
      <c r="C283" s="1000" t="s">
        <v>875</v>
      </c>
      <c r="D283" s="1001"/>
      <c r="E283" s="1001"/>
      <c r="F283" s="1002"/>
      <c r="G283" s="458" t="s">
        <v>734</v>
      </c>
      <c r="H283" s="566">
        <f>H284</f>
        <v>0.72</v>
      </c>
      <c r="I283" s="566">
        <f>H284</f>
        <v>0.72</v>
      </c>
      <c r="J283" s="592">
        <v>2.5</v>
      </c>
      <c r="K283" s="592">
        <f t="shared" si="5"/>
        <v>1.8</v>
      </c>
      <c r="N283" s="494"/>
      <c r="O283" s="495"/>
      <c r="P283" s="496"/>
      <c r="Q283" s="494"/>
      <c r="R283" s="526"/>
      <c r="S283" s="526"/>
    </row>
    <row r="284" spans="1:19" ht="21" hidden="1" customHeight="1">
      <c r="A284" s="74"/>
      <c r="B284" s="910"/>
      <c r="C284" s="579" t="s">
        <v>714</v>
      </c>
      <c r="D284" s="589">
        <f>H284</f>
        <v>0.72</v>
      </c>
      <c r="E284" s="581" t="s">
        <v>734</v>
      </c>
      <c r="F284" s="582"/>
      <c r="G284" s="458" t="s">
        <v>34</v>
      </c>
      <c r="H284" s="566">
        <f>H286*0.6*0.2</f>
        <v>0.72</v>
      </c>
      <c r="I284" s="566" t="s">
        <v>34</v>
      </c>
      <c r="J284" s="521"/>
      <c r="K284" s="592" t="e">
        <f t="shared" si="5"/>
        <v>#VALUE!</v>
      </c>
      <c r="N284" s="494"/>
      <c r="O284" s="495"/>
      <c r="P284" s="496"/>
      <c r="Q284" s="494"/>
      <c r="R284" s="526"/>
      <c r="S284" s="526"/>
    </row>
    <row r="285" spans="1:19" ht="33.75" customHeight="1">
      <c r="A285" s="74">
        <v>63</v>
      </c>
      <c r="B285" s="910"/>
      <c r="C285" s="1000" t="s">
        <v>910</v>
      </c>
      <c r="D285" s="1001"/>
      <c r="E285" s="1001"/>
      <c r="F285" s="1002"/>
      <c r="G285" s="379" t="s">
        <v>11</v>
      </c>
      <c r="H285" s="83">
        <f>H286</f>
        <v>6</v>
      </c>
      <c r="I285" s="83">
        <f>H286</f>
        <v>6</v>
      </c>
      <c r="J285" s="592">
        <v>250</v>
      </c>
      <c r="K285" s="592">
        <f t="shared" si="5"/>
        <v>1500</v>
      </c>
      <c r="N285" s="494"/>
      <c r="O285" s="495"/>
      <c r="P285" s="496"/>
      <c r="Q285" s="494"/>
      <c r="R285" s="526"/>
      <c r="S285" s="526"/>
    </row>
    <row r="286" spans="1:19" ht="21" hidden="1" customHeight="1">
      <c r="A286" s="74"/>
      <c r="B286" s="910"/>
      <c r="C286" s="583" t="s">
        <v>712</v>
      </c>
      <c r="D286" s="589">
        <v>6</v>
      </c>
      <c r="E286" s="581" t="s">
        <v>11</v>
      </c>
      <c r="F286" s="585" t="s">
        <v>715</v>
      </c>
      <c r="G286" s="379" t="s">
        <v>34</v>
      </c>
      <c r="H286" s="83">
        <f>D286</f>
        <v>6</v>
      </c>
      <c r="I286" s="83" t="s">
        <v>34</v>
      </c>
      <c r="J286" s="521"/>
      <c r="K286" s="592" t="e">
        <f t="shared" si="5"/>
        <v>#VALUE!</v>
      </c>
      <c r="N286" s="494"/>
      <c r="O286" s="495"/>
      <c r="P286" s="496"/>
      <c r="Q286" s="494"/>
      <c r="R286" s="526"/>
      <c r="S286" s="526"/>
    </row>
    <row r="287" spans="1:19" ht="21" customHeight="1">
      <c r="A287" s="74">
        <v>64</v>
      </c>
      <c r="B287" s="910"/>
      <c r="C287" s="1000" t="s">
        <v>864</v>
      </c>
      <c r="D287" s="1001"/>
      <c r="E287" s="1001"/>
      <c r="F287" s="1002"/>
      <c r="G287" s="458" t="s">
        <v>734</v>
      </c>
      <c r="H287" s="566">
        <f>H288</f>
        <v>3.6</v>
      </c>
      <c r="I287" s="566">
        <f>H288</f>
        <v>3.6</v>
      </c>
      <c r="J287" s="592">
        <v>80</v>
      </c>
      <c r="K287" s="592">
        <f t="shared" si="5"/>
        <v>288</v>
      </c>
      <c r="N287" s="494"/>
      <c r="O287" s="495"/>
      <c r="P287" s="496"/>
      <c r="Q287" s="494"/>
      <c r="R287" s="526"/>
      <c r="S287" s="526"/>
    </row>
    <row r="288" spans="1:19" ht="21" hidden="1" customHeight="1">
      <c r="A288" s="74"/>
      <c r="B288" s="910"/>
      <c r="C288" s="579" t="s">
        <v>714</v>
      </c>
      <c r="D288" s="589">
        <f>H288</f>
        <v>3.6</v>
      </c>
      <c r="E288" s="581" t="s">
        <v>734</v>
      </c>
      <c r="F288" s="582"/>
      <c r="G288" s="458" t="s">
        <v>34</v>
      </c>
      <c r="H288" s="566">
        <f>H286*0.6*1</f>
        <v>3.6</v>
      </c>
      <c r="I288" s="566" t="s">
        <v>34</v>
      </c>
      <c r="J288" s="521"/>
      <c r="K288" s="592" t="e">
        <f t="shared" si="5"/>
        <v>#VALUE!</v>
      </c>
      <c r="N288" s="494"/>
      <c r="O288" s="495"/>
      <c r="P288" s="496"/>
      <c r="Q288" s="494"/>
      <c r="R288" s="526"/>
      <c r="S288" s="526"/>
    </row>
    <row r="289" spans="1:19" ht="21" customHeight="1">
      <c r="A289" s="74">
        <v>65</v>
      </c>
      <c r="B289" s="847"/>
      <c r="C289" s="1000" t="s">
        <v>867</v>
      </c>
      <c r="D289" s="1001"/>
      <c r="E289" s="1001"/>
      <c r="F289" s="1002"/>
      <c r="G289" s="458" t="s">
        <v>859</v>
      </c>
      <c r="H289" s="566">
        <f>H290</f>
        <v>1</v>
      </c>
      <c r="I289" s="566">
        <f>H290</f>
        <v>1</v>
      </c>
      <c r="J289" s="592">
        <v>500</v>
      </c>
      <c r="K289" s="592">
        <f t="shared" si="5"/>
        <v>500</v>
      </c>
      <c r="N289" s="494"/>
      <c r="O289" s="495"/>
      <c r="P289" s="496"/>
      <c r="Q289" s="494"/>
      <c r="R289" s="526"/>
      <c r="S289" s="526"/>
    </row>
    <row r="290" spans="1:19" ht="21" hidden="1" customHeight="1">
      <c r="A290" s="76"/>
      <c r="B290" s="76"/>
      <c r="C290" s="557" t="s">
        <v>717</v>
      </c>
      <c r="D290" s="558">
        <f>H290</f>
        <v>1</v>
      </c>
      <c r="E290" s="559" t="s">
        <v>626</v>
      </c>
      <c r="F290" s="560" t="s">
        <v>865</v>
      </c>
      <c r="G290" s="567" t="s">
        <v>34</v>
      </c>
      <c r="H290" s="568">
        <v>1</v>
      </c>
      <c r="I290" s="568"/>
      <c r="J290" s="521"/>
      <c r="K290" s="521"/>
      <c r="N290" s="494"/>
      <c r="O290" s="495"/>
      <c r="P290" s="496"/>
      <c r="Q290" s="494"/>
      <c r="R290" s="526"/>
      <c r="S290" s="526"/>
    </row>
    <row r="291" spans="1:19" ht="21" customHeight="1">
      <c r="A291" s="837" t="s">
        <v>905</v>
      </c>
      <c r="B291" s="838"/>
      <c r="C291" s="838"/>
      <c r="D291" s="838"/>
      <c r="E291" s="838"/>
      <c r="F291" s="838"/>
      <c r="G291" s="838"/>
      <c r="H291" s="838"/>
      <c r="I291" s="838"/>
      <c r="J291" s="839"/>
      <c r="K291" s="401">
        <f>K281+K283+K285+K287+K289</f>
        <v>2808.2</v>
      </c>
      <c r="N291" s="494"/>
      <c r="O291" s="495"/>
      <c r="P291" s="496"/>
      <c r="Q291" s="494"/>
      <c r="R291" s="526"/>
      <c r="S291" s="526"/>
    </row>
    <row r="292" spans="1:19" ht="21" customHeight="1">
      <c r="A292" s="1012" t="s">
        <v>901</v>
      </c>
      <c r="B292" s="1013"/>
      <c r="C292" s="1013"/>
      <c r="D292" s="1013"/>
      <c r="E292" s="1013"/>
      <c r="F292" s="1013"/>
      <c r="G292" s="1013"/>
      <c r="H292" s="1013"/>
      <c r="I292" s="1013"/>
      <c r="J292" s="1014"/>
      <c r="K292" s="522">
        <f>K291</f>
        <v>2808.2</v>
      </c>
      <c r="N292" s="494"/>
      <c r="O292" s="495"/>
      <c r="P292" s="496"/>
      <c r="Q292" s="494"/>
      <c r="R292" s="526"/>
      <c r="S292" s="526"/>
    </row>
    <row r="293" spans="1:19" ht="21" customHeight="1">
      <c r="A293" s="1011" t="s">
        <v>906</v>
      </c>
      <c r="B293" s="1011"/>
      <c r="C293" s="1011"/>
      <c r="D293" s="1011"/>
      <c r="E293" s="1011"/>
      <c r="F293" s="1011"/>
      <c r="G293" s="1011"/>
      <c r="H293" s="1011"/>
      <c r="I293" s="1011"/>
      <c r="J293" s="1011"/>
      <c r="K293" s="486" t="e">
        <f>K13+K222+K236+K277+K292</f>
        <v>#REF!</v>
      </c>
      <c r="N293" s="494"/>
      <c r="O293" s="495"/>
      <c r="P293" s="496"/>
      <c r="Q293" s="494"/>
      <c r="R293" s="526"/>
      <c r="S293" s="526"/>
    </row>
    <row r="294" spans="1:19" ht="21" customHeight="1">
      <c r="A294" s="1011" t="s">
        <v>192</v>
      </c>
      <c r="B294" s="1011"/>
      <c r="C294" s="1011"/>
      <c r="D294" s="1011"/>
      <c r="E294" s="1011"/>
      <c r="F294" s="1011"/>
      <c r="G294" s="1011"/>
      <c r="H294" s="1011"/>
      <c r="I294" s="1011"/>
      <c r="J294" s="1011"/>
      <c r="K294" s="486" t="e">
        <f>K293*0.23</f>
        <v>#REF!</v>
      </c>
      <c r="N294" s="494"/>
      <c r="O294" s="495"/>
      <c r="P294" s="496"/>
      <c r="Q294" s="494"/>
      <c r="R294" s="526"/>
      <c r="S294" s="526"/>
    </row>
    <row r="295" spans="1:19" ht="21" customHeight="1">
      <c r="A295" s="1011" t="s">
        <v>193</v>
      </c>
      <c r="B295" s="1011"/>
      <c r="C295" s="1011"/>
      <c r="D295" s="1011"/>
      <c r="E295" s="1011"/>
      <c r="F295" s="1011"/>
      <c r="G295" s="1011"/>
      <c r="H295" s="1011"/>
      <c r="I295" s="1011"/>
      <c r="J295" s="1011"/>
      <c r="K295" s="486" t="e">
        <f>K293+K294</f>
        <v>#REF!</v>
      </c>
      <c r="N295" s="494"/>
      <c r="O295" s="495"/>
      <c r="P295" s="496"/>
      <c r="Q295" s="494"/>
      <c r="R295" s="526"/>
      <c r="S295" s="526"/>
    </row>
    <row r="296" spans="1:19" ht="12.75" customHeight="1">
      <c r="A296" s="553"/>
      <c r="B296" s="553"/>
      <c r="C296" s="554"/>
      <c r="D296" s="556"/>
      <c r="E296" s="555"/>
      <c r="F296" s="555"/>
      <c r="G296" s="500"/>
      <c r="H296" s="547"/>
      <c r="I296" s="561"/>
      <c r="N296" s="497"/>
      <c r="O296" s="498"/>
      <c r="P296" s="499"/>
      <c r="Q296" s="500"/>
      <c r="R296" s="547"/>
      <c r="S296" s="526"/>
    </row>
    <row r="297" spans="1:19" ht="12.75" customHeight="1">
      <c r="A297" s="553"/>
      <c r="B297" s="553"/>
      <c r="C297" s="554"/>
      <c r="D297" s="556"/>
      <c r="E297" s="555"/>
      <c r="F297" s="555"/>
      <c r="G297" s="500"/>
      <c r="H297" s="547"/>
      <c r="I297" s="561"/>
      <c r="N297" s="497"/>
      <c r="O297" s="498"/>
      <c r="P297" s="499"/>
      <c r="Q297" s="500"/>
      <c r="R297" s="547"/>
      <c r="S297" s="526"/>
    </row>
    <row r="298" spans="1:19" ht="12.75" customHeight="1">
      <c r="A298" s="553"/>
      <c r="B298" s="553"/>
      <c r="C298" s="554"/>
      <c r="D298" s="556"/>
      <c r="E298" s="555"/>
      <c r="F298" s="555"/>
      <c r="G298" s="500"/>
      <c r="H298" s="547"/>
      <c r="I298" s="561"/>
      <c r="N298" s="497"/>
      <c r="O298" s="498"/>
      <c r="P298" s="499"/>
      <c r="Q298" s="500"/>
      <c r="R298" s="547"/>
      <c r="S298" s="526"/>
    </row>
    <row r="299" spans="1:19">
      <c r="A299" s="553"/>
      <c r="B299" s="553"/>
      <c r="C299" s="554"/>
      <c r="D299" s="556"/>
      <c r="E299" s="555"/>
      <c r="F299" s="555"/>
      <c r="G299" s="500"/>
      <c r="H299" s="547"/>
      <c r="I299" s="561"/>
    </row>
    <row r="300" spans="1:19">
      <c r="A300" s="553"/>
      <c r="B300" s="553"/>
      <c r="C300" s="554"/>
      <c r="D300" s="556"/>
      <c r="E300" s="555"/>
      <c r="F300" s="555"/>
      <c r="G300" s="500"/>
      <c r="H300" s="547"/>
      <c r="I300" s="561"/>
    </row>
    <row r="301" spans="1:19">
      <c r="A301" s="553"/>
      <c r="B301" s="553"/>
      <c r="C301" s="554"/>
      <c r="D301" s="556"/>
      <c r="E301" s="555"/>
      <c r="F301" s="555"/>
      <c r="G301" s="500"/>
      <c r="H301" s="547"/>
      <c r="I301" s="561"/>
    </row>
    <row r="302" spans="1:19">
      <c r="B302" s="494"/>
      <c r="C302" s="507"/>
      <c r="D302" s="504"/>
      <c r="E302" s="494"/>
      <c r="F302" s="526"/>
      <c r="G302" s="526"/>
    </row>
    <row r="303" spans="1:19">
      <c r="B303" s="494"/>
      <c r="C303" s="507"/>
      <c r="D303" s="504"/>
      <c r="E303" s="494"/>
      <c r="F303" s="526"/>
      <c r="G303" s="526"/>
    </row>
    <row r="304" spans="1:19">
      <c r="B304" s="494"/>
      <c r="C304" s="507"/>
      <c r="D304" s="504"/>
      <c r="E304" s="494"/>
      <c r="F304" s="526"/>
      <c r="G304" s="526"/>
    </row>
    <row r="305" spans="2:7">
      <c r="B305" s="494"/>
      <c r="C305" s="507"/>
      <c r="D305" s="504"/>
      <c r="E305" s="494"/>
      <c r="F305" s="526"/>
      <c r="G305" s="526"/>
    </row>
  </sheetData>
  <mergeCells count="499">
    <mergeCell ref="A276:J276"/>
    <mergeCell ref="A277:J277"/>
    <mergeCell ref="B278:K278"/>
    <mergeCell ref="C279:K279"/>
    <mergeCell ref="C280:K280"/>
    <mergeCell ref="C281:F281"/>
    <mergeCell ref="A293:J293"/>
    <mergeCell ref="A294:J294"/>
    <mergeCell ref="A295:J295"/>
    <mergeCell ref="C283:F283"/>
    <mergeCell ref="C285:F285"/>
    <mergeCell ref="C287:F287"/>
    <mergeCell ref="C289:F289"/>
    <mergeCell ref="A291:J291"/>
    <mergeCell ref="A292:J292"/>
    <mergeCell ref="B281:B289"/>
    <mergeCell ref="A263:J263"/>
    <mergeCell ref="C264:K264"/>
    <mergeCell ref="C265:K265"/>
    <mergeCell ref="B266:B275"/>
    <mergeCell ref="C266:F266"/>
    <mergeCell ref="C268:F268"/>
    <mergeCell ref="A252:A253"/>
    <mergeCell ref="B252:B253"/>
    <mergeCell ref="C252:F252"/>
    <mergeCell ref="A254:A255"/>
    <mergeCell ref="B254:B255"/>
    <mergeCell ref="C254:F254"/>
    <mergeCell ref="A261:A262"/>
    <mergeCell ref="B261:B262"/>
    <mergeCell ref="C261:F261"/>
    <mergeCell ref="A256:A257"/>
    <mergeCell ref="B256:B257"/>
    <mergeCell ref="C256:F256"/>
    <mergeCell ref="A258:A259"/>
    <mergeCell ref="B258:B259"/>
    <mergeCell ref="C258:F258"/>
    <mergeCell ref="C270:F270"/>
    <mergeCell ref="C272:F272"/>
    <mergeCell ref="C274:F274"/>
    <mergeCell ref="A248:A249"/>
    <mergeCell ref="B248:B249"/>
    <mergeCell ref="C248:F248"/>
    <mergeCell ref="A250:A251"/>
    <mergeCell ref="B250:B251"/>
    <mergeCell ref="C250:F250"/>
    <mergeCell ref="A235:J235"/>
    <mergeCell ref="A236:J236"/>
    <mergeCell ref="B237:K237"/>
    <mergeCell ref="C245:K245"/>
    <mergeCell ref="A246:A247"/>
    <mergeCell ref="B246:B247"/>
    <mergeCell ref="C246:F246"/>
    <mergeCell ref="B226:B234"/>
    <mergeCell ref="C226:F226"/>
    <mergeCell ref="C228:F228"/>
    <mergeCell ref="C230:F230"/>
    <mergeCell ref="C233:F233"/>
    <mergeCell ref="C242:F242"/>
    <mergeCell ref="A238:J238"/>
    <mergeCell ref="A239:J239"/>
    <mergeCell ref="B240:K240"/>
    <mergeCell ref="A221:J221"/>
    <mergeCell ref="A222:J222"/>
    <mergeCell ref="B223:K223"/>
    <mergeCell ref="P223:S223"/>
    <mergeCell ref="C224:K224"/>
    <mergeCell ref="C225:K225"/>
    <mergeCell ref="I213:I214"/>
    <mergeCell ref="C215:K215"/>
    <mergeCell ref="C216:F216"/>
    <mergeCell ref="A217:A218"/>
    <mergeCell ref="B217:B218"/>
    <mergeCell ref="C217:F217"/>
    <mergeCell ref="G217:G218"/>
    <mergeCell ref="H217:H218"/>
    <mergeCell ref="I217:I218"/>
    <mergeCell ref="A213:A214"/>
    <mergeCell ref="B213:B214"/>
    <mergeCell ref="C213:F213"/>
    <mergeCell ref="G213:G214"/>
    <mergeCell ref="H213:H214"/>
    <mergeCell ref="B219:B220"/>
    <mergeCell ref="C219:F219"/>
    <mergeCell ref="G219:G220"/>
    <mergeCell ref="H219:H220"/>
    <mergeCell ref="C202:K202"/>
    <mergeCell ref="C212:F212"/>
    <mergeCell ref="A206:J206"/>
    <mergeCell ref="C207:K207"/>
    <mergeCell ref="C208:K208"/>
    <mergeCell ref="C209:F209"/>
    <mergeCell ref="A210:A211"/>
    <mergeCell ref="B210:B211"/>
    <mergeCell ref="C210:F210"/>
    <mergeCell ref="G210:G211"/>
    <mergeCell ref="H210:H211"/>
    <mergeCell ref="I210:I211"/>
    <mergeCell ref="A203:J203"/>
    <mergeCell ref="C204:K204"/>
    <mergeCell ref="C205:K205"/>
    <mergeCell ref="A200:A201"/>
    <mergeCell ref="B200:B201"/>
    <mergeCell ref="C200:F200"/>
    <mergeCell ref="G200:G201"/>
    <mergeCell ref="H200:H201"/>
    <mergeCell ref="I194:I195"/>
    <mergeCell ref="C196:F196"/>
    <mergeCell ref="A197:A198"/>
    <mergeCell ref="B197:B198"/>
    <mergeCell ref="C197:F197"/>
    <mergeCell ref="G197:G198"/>
    <mergeCell ref="H197:H198"/>
    <mergeCell ref="I197:I198"/>
    <mergeCell ref="I200:I201"/>
    <mergeCell ref="K190:K191"/>
    <mergeCell ref="A192:J192"/>
    <mergeCell ref="C193:F193"/>
    <mergeCell ref="A194:A195"/>
    <mergeCell ref="B194:B195"/>
    <mergeCell ref="C194:F194"/>
    <mergeCell ref="G194:G195"/>
    <mergeCell ref="H194:H195"/>
    <mergeCell ref="C199:F199"/>
    <mergeCell ref="A185:J185"/>
    <mergeCell ref="A186:J186"/>
    <mergeCell ref="C187:I187"/>
    <mergeCell ref="C188:I188"/>
    <mergeCell ref="C189:F189"/>
    <mergeCell ref="A190:A191"/>
    <mergeCell ref="B190:B191"/>
    <mergeCell ref="C190:F190"/>
    <mergeCell ref="G190:G191"/>
    <mergeCell ref="H190:H191"/>
    <mergeCell ref="I190:I191"/>
    <mergeCell ref="J190:J191"/>
    <mergeCell ref="C180:F180"/>
    <mergeCell ref="G180:G181"/>
    <mergeCell ref="H180:H181"/>
    <mergeCell ref="I180:I181"/>
    <mergeCell ref="C182:F182"/>
    <mergeCell ref="C183:F183"/>
    <mergeCell ref="G183:G184"/>
    <mergeCell ref="H183:H184"/>
    <mergeCell ref="I183:I184"/>
    <mergeCell ref="J174:J175"/>
    <mergeCell ref="K174:K175"/>
    <mergeCell ref="A176:J176"/>
    <mergeCell ref="C177:I177"/>
    <mergeCell ref="C178:I178"/>
    <mergeCell ref="C179:F179"/>
    <mergeCell ref="A174:A175"/>
    <mergeCell ref="B174:B175"/>
    <mergeCell ref="C174:F174"/>
    <mergeCell ref="G174:G175"/>
    <mergeCell ref="H174:H175"/>
    <mergeCell ref="I174:I175"/>
    <mergeCell ref="C173:F173"/>
    <mergeCell ref="A163:J163"/>
    <mergeCell ref="C164:I164"/>
    <mergeCell ref="C165:I165"/>
    <mergeCell ref="C166:F166"/>
    <mergeCell ref="A167:A168"/>
    <mergeCell ref="B167:B168"/>
    <mergeCell ref="C167:F167"/>
    <mergeCell ref="G167:G168"/>
    <mergeCell ref="H167:H168"/>
    <mergeCell ref="I167:I168"/>
    <mergeCell ref="A161:A162"/>
    <mergeCell ref="B161:B162"/>
    <mergeCell ref="C161:F161"/>
    <mergeCell ref="G161:G162"/>
    <mergeCell ref="H161:H162"/>
    <mergeCell ref="I161:I162"/>
    <mergeCell ref="J153:J154"/>
    <mergeCell ref="C170:F170"/>
    <mergeCell ref="C171:F171"/>
    <mergeCell ref="G171:G172"/>
    <mergeCell ref="H171:H172"/>
    <mergeCell ref="I171:I172"/>
    <mergeCell ref="C155:K155"/>
    <mergeCell ref="C156:F156"/>
    <mergeCell ref="A157:A158"/>
    <mergeCell ref="B157:B158"/>
    <mergeCell ref="C157:F157"/>
    <mergeCell ref="G157:G158"/>
    <mergeCell ref="H157:H158"/>
    <mergeCell ref="I157:I158"/>
    <mergeCell ref="A159:J159"/>
    <mergeCell ref="J146:J147"/>
    <mergeCell ref="K146:K147"/>
    <mergeCell ref="C148:I148"/>
    <mergeCell ref="C152:F152"/>
    <mergeCell ref="A153:A154"/>
    <mergeCell ref="B153:B154"/>
    <mergeCell ref="C153:F153"/>
    <mergeCell ref="G153:G154"/>
    <mergeCell ref="H153:H154"/>
    <mergeCell ref="I153:I154"/>
    <mergeCell ref="K153:K154"/>
    <mergeCell ref="C145:F145"/>
    <mergeCell ref="A146:A147"/>
    <mergeCell ref="B146:B147"/>
    <mergeCell ref="C146:F146"/>
    <mergeCell ref="G146:G147"/>
    <mergeCell ref="H146:H147"/>
    <mergeCell ref="I146:I147"/>
    <mergeCell ref="C142:F142"/>
    <mergeCell ref="A143:A144"/>
    <mergeCell ref="B143:B144"/>
    <mergeCell ref="C143:F143"/>
    <mergeCell ref="G143:G144"/>
    <mergeCell ref="H143:H144"/>
    <mergeCell ref="C138:K138"/>
    <mergeCell ref="C139:F139"/>
    <mergeCell ref="A140:A141"/>
    <mergeCell ref="B140:B141"/>
    <mergeCell ref="C140:F140"/>
    <mergeCell ref="G140:G141"/>
    <mergeCell ref="H140:H141"/>
    <mergeCell ref="I140:I141"/>
    <mergeCell ref="I143:I144"/>
    <mergeCell ref="C135:F135"/>
    <mergeCell ref="A136:A137"/>
    <mergeCell ref="B136:B137"/>
    <mergeCell ref="C136:F136"/>
    <mergeCell ref="G136:G137"/>
    <mergeCell ref="H136:H137"/>
    <mergeCell ref="C131:K131"/>
    <mergeCell ref="C132:F132"/>
    <mergeCell ref="A133:A134"/>
    <mergeCell ref="B133:B134"/>
    <mergeCell ref="C133:F133"/>
    <mergeCell ref="G133:G134"/>
    <mergeCell ref="H133:H134"/>
    <mergeCell ref="I133:I134"/>
    <mergeCell ref="I136:I137"/>
    <mergeCell ref="K125:K126"/>
    <mergeCell ref="C127:K127"/>
    <mergeCell ref="C128:F128"/>
    <mergeCell ref="A129:A130"/>
    <mergeCell ref="B129:B130"/>
    <mergeCell ref="C129:F129"/>
    <mergeCell ref="G129:G130"/>
    <mergeCell ref="H129:H130"/>
    <mergeCell ref="I129:I130"/>
    <mergeCell ref="A121:J121"/>
    <mergeCell ref="C122:I122"/>
    <mergeCell ref="C123:I123"/>
    <mergeCell ref="C124:F124"/>
    <mergeCell ref="A125:A126"/>
    <mergeCell ref="B125:B126"/>
    <mergeCell ref="C125:F125"/>
    <mergeCell ref="G125:G126"/>
    <mergeCell ref="H125:H126"/>
    <mergeCell ref="I125:I126"/>
    <mergeCell ref="J125:J126"/>
    <mergeCell ref="A119:A120"/>
    <mergeCell ref="B119:B120"/>
    <mergeCell ref="C119:F119"/>
    <mergeCell ref="G119:G120"/>
    <mergeCell ref="H119:H120"/>
    <mergeCell ref="I119:I120"/>
    <mergeCell ref="I114:I115"/>
    <mergeCell ref="J114:J115"/>
    <mergeCell ref="K114:K115"/>
    <mergeCell ref="A116:J116"/>
    <mergeCell ref="C117:K117"/>
    <mergeCell ref="C118:F118"/>
    <mergeCell ref="C113:F113"/>
    <mergeCell ref="A114:A115"/>
    <mergeCell ref="B114:B115"/>
    <mergeCell ref="C114:F114"/>
    <mergeCell ref="G114:G115"/>
    <mergeCell ref="H114:H115"/>
    <mergeCell ref="I107:I108"/>
    <mergeCell ref="C109:I109"/>
    <mergeCell ref="C110:F110"/>
    <mergeCell ref="A111:A112"/>
    <mergeCell ref="B111:B112"/>
    <mergeCell ref="C111:F111"/>
    <mergeCell ref="G111:G112"/>
    <mergeCell ref="H111:H112"/>
    <mergeCell ref="I111:I112"/>
    <mergeCell ref="C106:F106"/>
    <mergeCell ref="A107:A108"/>
    <mergeCell ref="B107:B108"/>
    <mergeCell ref="C107:F107"/>
    <mergeCell ref="G107:G108"/>
    <mergeCell ref="H107:H108"/>
    <mergeCell ref="I96:I97"/>
    <mergeCell ref="C98:I98"/>
    <mergeCell ref="C99:F99"/>
    <mergeCell ref="A100:A101"/>
    <mergeCell ref="B100:B101"/>
    <mergeCell ref="C100:F100"/>
    <mergeCell ref="G100:G101"/>
    <mergeCell ref="H100:H101"/>
    <mergeCell ref="I100:I101"/>
    <mergeCell ref="C103:F103"/>
    <mergeCell ref="A104:A105"/>
    <mergeCell ref="B104:B105"/>
    <mergeCell ref="C104:F104"/>
    <mergeCell ref="G104:G105"/>
    <mergeCell ref="H104:H105"/>
    <mergeCell ref="I104:I105"/>
    <mergeCell ref="C102:F102"/>
    <mergeCell ref="C95:F95"/>
    <mergeCell ref="A96:A97"/>
    <mergeCell ref="B96:B97"/>
    <mergeCell ref="C96:F96"/>
    <mergeCell ref="G96:G97"/>
    <mergeCell ref="H96:H97"/>
    <mergeCell ref="I89:I90"/>
    <mergeCell ref="C91:K91"/>
    <mergeCell ref="C92:F92"/>
    <mergeCell ref="A93:A94"/>
    <mergeCell ref="B93:B94"/>
    <mergeCell ref="C93:F93"/>
    <mergeCell ref="G93:G94"/>
    <mergeCell ref="H93:H94"/>
    <mergeCell ref="I93:I94"/>
    <mergeCell ref="C88:F88"/>
    <mergeCell ref="A89:A90"/>
    <mergeCell ref="B89:B90"/>
    <mergeCell ref="C89:F89"/>
    <mergeCell ref="G89:G90"/>
    <mergeCell ref="H89:H90"/>
    <mergeCell ref="A82:J82"/>
    <mergeCell ref="C83:I83"/>
    <mergeCell ref="C84:I84"/>
    <mergeCell ref="C85:F85"/>
    <mergeCell ref="A86:A87"/>
    <mergeCell ref="B86:B87"/>
    <mergeCell ref="C86:F86"/>
    <mergeCell ref="G86:G87"/>
    <mergeCell ref="H86:H87"/>
    <mergeCell ref="I86:I87"/>
    <mergeCell ref="I77:I78"/>
    <mergeCell ref="C79:F79"/>
    <mergeCell ref="A80:A81"/>
    <mergeCell ref="B80:B81"/>
    <mergeCell ref="C80:F80"/>
    <mergeCell ref="G80:G81"/>
    <mergeCell ref="H80:H81"/>
    <mergeCell ref="I80:I81"/>
    <mergeCell ref="C76:F76"/>
    <mergeCell ref="A77:A78"/>
    <mergeCell ref="B77:B78"/>
    <mergeCell ref="C77:F77"/>
    <mergeCell ref="G77:G78"/>
    <mergeCell ref="H77:H78"/>
    <mergeCell ref="A74:A75"/>
    <mergeCell ref="B74:B75"/>
    <mergeCell ref="C74:F74"/>
    <mergeCell ref="G74:G75"/>
    <mergeCell ref="H74:H75"/>
    <mergeCell ref="I74:I75"/>
    <mergeCell ref="C70:F70"/>
    <mergeCell ref="A71:A72"/>
    <mergeCell ref="B71:B72"/>
    <mergeCell ref="C71:F71"/>
    <mergeCell ref="G71:G72"/>
    <mergeCell ref="H71:H72"/>
    <mergeCell ref="I71:I72"/>
    <mergeCell ref="C73:F73"/>
    <mergeCell ref="G62:G63"/>
    <mergeCell ref="H62:H63"/>
    <mergeCell ref="I62:I63"/>
    <mergeCell ref="C64:F64"/>
    <mergeCell ref="G64:G66"/>
    <mergeCell ref="H64:H66"/>
    <mergeCell ref="I64:I66"/>
    <mergeCell ref="C61:F61"/>
    <mergeCell ref="C65:F65"/>
    <mergeCell ref="C66:F66"/>
    <mergeCell ref="C67:F67"/>
    <mergeCell ref="A68:A69"/>
    <mergeCell ref="B68:B69"/>
    <mergeCell ref="C68:F68"/>
    <mergeCell ref="A62:A66"/>
    <mergeCell ref="B62:B66"/>
    <mergeCell ref="C62:F62"/>
    <mergeCell ref="A56:A60"/>
    <mergeCell ref="B56:B60"/>
    <mergeCell ref="C56:F56"/>
    <mergeCell ref="C58:F58"/>
    <mergeCell ref="G58:G60"/>
    <mergeCell ref="H58:H60"/>
    <mergeCell ref="I58:I60"/>
    <mergeCell ref="C59:F59"/>
    <mergeCell ref="C60:F60"/>
    <mergeCell ref="K49:K50"/>
    <mergeCell ref="R49:U49"/>
    <mergeCell ref="A51:J51"/>
    <mergeCell ref="A52:J52"/>
    <mergeCell ref="C53:K53"/>
    <mergeCell ref="C54:K54"/>
    <mergeCell ref="C55:F55"/>
    <mergeCell ref="G56:G57"/>
    <mergeCell ref="H56:H57"/>
    <mergeCell ref="I56:I57"/>
    <mergeCell ref="C48:F48"/>
    <mergeCell ref="A49:A50"/>
    <mergeCell ref="B49:B50"/>
    <mergeCell ref="C49:F49"/>
    <mergeCell ref="G49:G50"/>
    <mergeCell ref="H49:H50"/>
    <mergeCell ref="I45:I46"/>
    <mergeCell ref="J45:J46"/>
    <mergeCell ref="K45:K46"/>
    <mergeCell ref="I49:I50"/>
    <mergeCell ref="J49:J50"/>
    <mergeCell ref="R45:U45"/>
    <mergeCell ref="R46:U46"/>
    <mergeCell ref="C47:I47"/>
    <mergeCell ref="I39:I40"/>
    <mergeCell ref="A41:J41"/>
    <mergeCell ref="C42:K42"/>
    <mergeCell ref="C43:I43"/>
    <mergeCell ref="C44:F44"/>
    <mergeCell ref="A45:A46"/>
    <mergeCell ref="B45:B46"/>
    <mergeCell ref="C45:F45"/>
    <mergeCell ref="G45:G46"/>
    <mergeCell ref="H45:H46"/>
    <mergeCell ref="C38:F38"/>
    <mergeCell ref="A39:A40"/>
    <mergeCell ref="B39:B40"/>
    <mergeCell ref="C39:F39"/>
    <mergeCell ref="G39:G40"/>
    <mergeCell ref="H39:H40"/>
    <mergeCell ref="I33:I34"/>
    <mergeCell ref="C35:F35"/>
    <mergeCell ref="A36:A37"/>
    <mergeCell ref="B36:B37"/>
    <mergeCell ref="C36:F36"/>
    <mergeCell ref="G36:G37"/>
    <mergeCell ref="H36:H37"/>
    <mergeCell ref="I36:I37"/>
    <mergeCell ref="A33:A34"/>
    <mergeCell ref="B33:B34"/>
    <mergeCell ref="C33:F33"/>
    <mergeCell ref="G33:G34"/>
    <mergeCell ref="H33:H34"/>
    <mergeCell ref="K26:K27"/>
    <mergeCell ref="C28:I28"/>
    <mergeCell ref="C29:F29"/>
    <mergeCell ref="A30:A31"/>
    <mergeCell ref="B30:B31"/>
    <mergeCell ref="C30:F30"/>
    <mergeCell ref="G30:G31"/>
    <mergeCell ref="H30:H31"/>
    <mergeCell ref="I30:I31"/>
    <mergeCell ref="H26:H27"/>
    <mergeCell ref="I26:I27"/>
    <mergeCell ref="H22:H23"/>
    <mergeCell ref="I22:I23"/>
    <mergeCell ref="C24:I24"/>
    <mergeCell ref="J26:J27"/>
    <mergeCell ref="C25:F25"/>
    <mergeCell ref="A26:A27"/>
    <mergeCell ref="B26:B27"/>
    <mergeCell ref="C26:F26"/>
    <mergeCell ref="G26:G27"/>
    <mergeCell ref="A1:K1"/>
    <mergeCell ref="A2:K2"/>
    <mergeCell ref="C3:F3"/>
    <mergeCell ref="B4:K4"/>
    <mergeCell ref="C5:K5"/>
    <mergeCell ref="C6:K6"/>
    <mergeCell ref="B14:K14"/>
    <mergeCell ref="C15:I15"/>
    <mergeCell ref="C16:I16"/>
    <mergeCell ref="C7:F7"/>
    <mergeCell ref="I219:I220"/>
    <mergeCell ref="Q7:Q13"/>
    <mergeCell ref="C8:F8"/>
    <mergeCell ref="C9:F9"/>
    <mergeCell ref="C10:F10"/>
    <mergeCell ref="C11:F11"/>
    <mergeCell ref="A12:J12"/>
    <mergeCell ref="A13:J13"/>
    <mergeCell ref="C17:F17"/>
    <mergeCell ref="A18:A19"/>
    <mergeCell ref="B18:B19"/>
    <mergeCell ref="C18:F18"/>
    <mergeCell ref="G18:G19"/>
    <mergeCell ref="H18:H19"/>
    <mergeCell ref="I18:I19"/>
    <mergeCell ref="K18:K19"/>
    <mergeCell ref="J18:J19"/>
    <mergeCell ref="C32:F32"/>
    <mergeCell ref="C20:I20"/>
    <mergeCell ref="C21:F21"/>
    <mergeCell ref="A22:A23"/>
    <mergeCell ref="B22:B23"/>
    <mergeCell ref="C22:F22"/>
    <mergeCell ref="G22:G23"/>
  </mergeCells>
  <printOptions gridLines="1"/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rowBreaks count="2" manualBreakCount="2">
    <brk id="82" max="10" man="1"/>
    <brk id="206" max="10" man="1"/>
  </rowBreaks>
  <ignoredErrors>
    <ignoredError sqref="K61 K73 K76 K70 K67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EM292"/>
  <sheetViews>
    <sheetView view="pageBreakPreview" zoomScale="115" zoomScaleNormal="100" zoomScaleSheetLayoutView="115" workbookViewId="0">
      <selection activeCell="C3" sqref="C3:F3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8.2851562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9.7109375" style="18" customWidth="1"/>
    <col min="9" max="9" width="13" style="20" hidden="1" customWidth="1"/>
    <col min="10" max="11" width="13.85546875" style="488" customWidth="1"/>
    <col min="12" max="12" width="15.7109375" style="40" customWidth="1"/>
    <col min="13" max="13" width="13.5703125" style="40" customWidth="1"/>
    <col min="14" max="15" width="9.140625" style="40" customWidth="1"/>
    <col min="16" max="16" width="46.5703125" style="40" customWidth="1"/>
    <col min="17" max="17" width="9.140625" style="40" customWidth="1"/>
    <col min="18" max="18" width="56.42578125" style="40" customWidth="1"/>
    <col min="19" max="19" width="55" style="40" customWidth="1"/>
    <col min="20" max="16384" width="9.140625" style="40"/>
  </cols>
  <sheetData>
    <row r="1" spans="1:17" s="4" customFormat="1" ht="31.5" customHeight="1">
      <c r="A1" s="868" t="s">
        <v>40</v>
      </c>
      <c r="B1" s="869"/>
      <c r="C1" s="869"/>
      <c r="D1" s="869"/>
      <c r="E1" s="869"/>
      <c r="F1" s="869"/>
      <c r="G1" s="869"/>
      <c r="H1" s="869"/>
      <c r="I1" s="869"/>
      <c r="J1" s="869"/>
      <c r="K1" s="870"/>
    </row>
    <row r="2" spans="1:17" s="4" customFormat="1" ht="39" customHeight="1">
      <c r="A2" s="1015" t="s">
        <v>916</v>
      </c>
      <c r="B2" s="1016"/>
      <c r="C2" s="1016"/>
      <c r="D2" s="1016"/>
      <c r="E2" s="1016"/>
      <c r="F2" s="1016"/>
      <c r="G2" s="1016"/>
      <c r="H2" s="1016"/>
      <c r="I2" s="1016"/>
      <c r="J2" s="1016"/>
      <c r="K2" s="1017"/>
      <c r="L2" s="6"/>
    </row>
    <row r="3" spans="1:17" ht="45" customHeight="1">
      <c r="A3" s="74" t="s">
        <v>3</v>
      </c>
      <c r="B3" s="449" t="s">
        <v>199</v>
      </c>
      <c r="C3" s="874" t="s">
        <v>190</v>
      </c>
      <c r="D3" s="875"/>
      <c r="E3" s="875"/>
      <c r="F3" s="876"/>
      <c r="G3" s="74" t="s">
        <v>5</v>
      </c>
      <c r="H3" s="22" t="s">
        <v>6</v>
      </c>
      <c r="I3" s="77" t="s">
        <v>7</v>
      </c>
      <c r="J3" s="389" t="s">
        <v>66</v>
      </c>
      <c r="K3" s="389" t="s">
        <v>67</v>
      </c>
      <c r="L3" s="3"/>
    </row>
    <row r="4" spans="1:17" ht="19.5" customHeight="1">
      <c r="A4" s="376" t="s">
        <v>33</v>
      </c>
      <c r="B4" s="877" t="s">
        <v>127</v>
      </c>
      <c r="C4" s="878"/>
      <c r="D4" s="878"/>
      <c r="E4" s="878"/>
      <c r="F4" s="878"/>
      <c r="G4" s="878"/>
      <c r="H4" s="878"/>
      <c r="I4" s="878"/>
      <c r="J4" s="878"/>
      <c r="K4" s="879"/>
      <c r="L4" s="3"/>
    </row>
    <row r="5" spans="1:17" ht="26.25" customHeight="1">
      <c r="A5" s="21" t="s">
        <v>54</v>
      </c>
      <c r="B5" s="448" t="s">
        <v>69</v>
      </c>
      <c r="C5" s="880" t="s">
        <v>46</v>
      </c>
      <c r="D5" s="881"/>
      <c r="E5" s="881"/>
      <c r="F5" s="881"/>
      <c r="G5" s="881"/>
      <c r="H5" s="881"/>
      <c r="I5" s="881"/>
      <c r="J5" s="881"/>
      <c r="K5" s="882"/>
      <c r="L5" s="3"/>
    </row>
    <row r="6" spans="1:17" ht="18.75" customHeight="1">
      <c r="A6" s="64" t="s">
        <v>34</v>
      </c>
      <c r="B6" s="571" t="s">
        <v>65</v>
      </c>
      <c r="C6" s="800" t="s">
        <v>100</v>
      </c>
      <c r="D6" s="801"/>
      <c r="E6" s="801"/>
      <c r="F6" s="801"/>
      <c r="G6" s="801"/>
      <c r="H6" s="801"/>
      <c r="I6" s="801"/>
      <c r="J6" s="801"/>
      <c r="K6" s="802"/>
      <c r="L6" s="3"/>
    </row>
    <row r="7" spans="1:17" ht="21.75" customHeight="1">
      <c r="A7" s="74" t="s">
        <v>101</v>
      </c>
      <c r="B7" s="572" t="str">
        <f>B6</f>
        <v>00.00.00</v>
      </c>
      <c r="C7" s="834" t="s">
        <v>773</v>
      </c>
      <c r="D7" s="835"/>
      <c r="E7" s="835"/>
      <c r="F7" s="836"/>
      <c r="G7" s="83" t="s">
        <v>325</v>
      </c>
      <c r="H7" s="236">
        <v>1</v>
      </c>
      <c r="I7" s="68">
        <f>H7</f>
        <v>1</v>
      </c>
      <c r="J7" s="467"/>
      <c r="K7" s="389"/>
      <c r="L7" s="3"/>
      <c r="Q7" s="833"/>
    </row>
    <row r="8" spans="1:17" ht="51.75" customHeight="1">
      <c r="A8" s="74" t="s">
        <v>102</v>
      </c>
      <c r="B8" s="572" t="str">
        <f>B7</f>
        <v>00.00.00</v>
      </c>
      <c r="C8" s="834" t="s">
        <v>772</v>
      </c>
      <c r="D8" s="835"/>
      <c r="E8" s="835"/>
      <c r="F8" s="836"/>
      <c r="G8" s="83" t="s">
        <v>325</v>
      </c>
      <c r="H8" s="236">
        <v>1</v>
      </c>
      <c r="I8" s="68">
        <f>H8</f>
        <v>1</v>
      </c>
      <c r="J8" s="467"/>
      <c r="K8" s="389"/>
      <c r="L8" s="3"/>
      <c r="Q8" s="833"/>
    </row>
    <row r="9" spans="1:17" ht="49.5" customHeight="1">
      <c r="A9" s="74" t="s">
        <v>103</v>
      </c>
      <c r="B9" s="66" t="s">
        <v>65</v>
      </c>
      <c r="C9" s="834" t="s">
        <v>774</v>
      </c>
      <c r="D9" s="835"/>
      <c r="E9" s="835"/>
      <c r="F9" s="836"/>
      <c r="G9" s="83" t="s">
        <v>325</v>
      </c>
      <c r="H9" s="236">
        <v>1</v>
      </c>
      <c r="I9" s="68">
        <f>H9</f>
        <v>1</v>
      </c>
      <c r="J9" s="467"/>
      <c r="K9" s="389"/>
      <c r="L9" s="3"/>
      <c r="Q9" s="833"/>
    </row>
    <row r="10" spans="1:17" ht="53.25" customHeight="1">
      <c r="A10" s="74" t="s">
        <v>104</v>
      </c>
      <c r="B10" s="66" t="s">
        <v>65</v>
      </c>
      <c r="C10" s="834" t="s">
        <v>775</v>
      </c>
      <c r="D10" s="835"/>
      <c r="E10" s="835"/>
      <c r="F10" s="835"/>
      <c r="G10" s="83" t="s">
        <v>325</v>
      </c>
      <c r="H10" s="236">
        <v>1</v>
      </c>
      <c r="I10" s="68">
        <f>H10</f>
        <v>1</v>
      </c>
      <c r="J10" s="467"/>
      <c r="K10" s="389"/>
      <c r="L10" s="3"/>
      <c r="Q10" s="833"/>
    </row>
    <row r="11" spans="1:17" ht="80.25" customHeight="1">
      <c r="A11" s="74" t="s">
        <v>105</v>
      </c>
      <c r="B11" s="66" t="s">
        <v>65</v>
      </c>
      <c r="C11" s="834" t="s">
        <v>407</v>
      </c>
      <c r="D11" s="835"/>
      <c r="E11" s="835"/>
      <c r="F11" s="836"/>
      <c r="G11" s="83" t="s">
        <v>325</v>
      </c>
      <c r="H11" s="236">
        <v>1</v>
      </c>
      <c r="I11" s="68">
        <f>H11</f>
        <v>1</v>
      </c>
      <c r="J11" s="467"/>
      <c r="K11" s="389"/>
      <c r="L11" s="3"/>
      <c r="Q11" s="833"/>
    </row>
    <row r="12" spans="1:17" ht="15.75" customHeight="1">
      <c r="A12" s="837" t="s">
        <v>658</v>
      </c>
      <c r="B12" s="838"/>
      <c r="C12" s="838"/>
      <c r="D12" s="838"/>
      <c r="E12" s="838"/>
      <c r="F12" s="838"/>
      <c r="G12" s="838"/>
      <c r="H12" s="838"/>
      <c r="I12" s="838"/>
      <c r="J12" s="839"/>
      <c r="K12" s="401"/>
      <c r="L12" s="399">
        <f>K12</f>
        <v>0</v>
      </c>
      <c r="Q12" s="833"/>
    </row>
    <row r="13" spans="1:17" ht="15.75" customHeight="1">
      <c r="A13" s="840" t="s">
        <v>655</v>
      </c>
      <c r="B13" s="841"/>
      <c r="C13" s="841"/>
      <c r="D13" s="841"/>
      <c r="E13" s="841"/>
      <c r="F13" s="841"/>
      <c r="G13" s="841"/>
      <c r="H13" s="841"/>
      <c r="I13" s="841"/>
      <c r="J13" s="842"/>
      <c r="K13" s="403"/>
      <c r="L13" s="3"/>
      <c r="Q13" s="833"/>
    </row>
    <row r="14" spans="1:17" ht="20.25" customHeight="1">
      <c r="A14" s="376" t="s">
        <v>37</v>
      </c>
      <c r="B14" s="877" t="s">
        <v>732</v>
      </c>
      <c r="C14" s="878"/>
      <c r="D14" s="878"/>
      <c r="E14" s="878"/>
      <c r="F14" s="878"/>
      <c r="G14" s="878"/>
      <c r="H14" s="878"/>
      <c r="I14" s="878"/>
      <c r="J14" s="878"/>
      <c r="K14" s="879"/>
      <c r="L14" s="3"/>
    </row>
    <row r="15" spans="1:17" s="1" customFormat="1" ht="27" customHeight="1">
      <c r="A15" s="21" t="s">
        <v>56</v>
      </c>
      <c r="B15" s="448" t="s">
        <v>55</v>
      </c>
      <c r="C15" s="737" t="s">
        <v>175</v>
      </c>
      <c r="D15" s="737"/>
      <c r="E15" s="737"/>
      <c r="F15" s="737"/>
      <c r="G15" s="737"/>
      <c r="H15" s="737"/>
      <c r="I15" s="797"/>
      <c r="J15" s="468"/>
      <c r="K15" s="514"/>
      <c r="L15" s="487"/>
      <c r="M15" s="487"/>
      <c r="N15" s="487"/>
      <c r="O15" s="487"/>
      <c r="P15" s="487"/>
    </row>
    <row r="16" spans="1:17" ht="18" customHeight="1">
      <c r="A16" s="64" t="s">
        <v>34</v>
      </c>
      <c r="B16" s="450" t="s">
        <v>13</v>
      </c>
      <c r="C16" s="736" t="s">
        <v>107</v>
      </c>
      <c r="D16" s="736"/>
      <c r="E16" s="736"/>
      <c r="F16" s="736"/>
      <c r="G16" s="736"/>
      <c r="H16" s="740"/>
      <c r="I16" s="883"/>
      <c r="J16" s="469"/>
      <c r="K16" s="455"/>
      <c r="L16" s="3"/>
    </row>
    <row r="17" spans="1:15" s="14" customFormat="1" ht="20.25" customHeight="1">
      <c r="A17" s="74">
        <v>2</v>
      </c>
      <c r="B17" s="449" t="s">
        <v>131</v>
      </c>
      <c r="C17" s="843" t="s">
        <v>731</v>
      </c>
      <c r="D17" s="844"/>
      <c r="E17" s="844"/>
      <c r="F17" s="845"/>
      <c r="G17" s="74" t="s">
        <v>197</v>
      </c>
      <c r="H17" s="78">
        <f>'KI4-STARE'!I17</f>
        <v>0.74</v>
      </c>
      <c r="I17" s="78">
        <f>SUM(H18:H18)</f>
        <v>0.74</v>
      </c>
      <c r="J17" s="467"/>
      <c r="K17" s="389"/>
      <c r="L17" s="1"/>
    </row>
    <row r="18" spans="1:15" ht="72.75" hidden="1" customHeight="1">
      <c r="A18" s="846"/>
      <c r="B18" s="848"/>
      <c r="C18" s="850" t="s">
        <v>882</v>
      </c>
      <c r="D18" s="851"/>
      <c r="E18" s="851"/>
      <c r="F18" s="852"/>
      <c r="G18" s="853" t="s">
        <v>197</v>
      </c>
      <c r="H18" s="855">
        <v>0.74</v>
      </c>
      <c r="I18" s="857" t="s">
        <v>34</v>
      </c>
      <c r="J18" s="861"/>
      <c r="K18" s="859"/>
      <c r="L18" s="3"/>
      <c r="M18" s="314"/>
    </row>
    <row r="19" spans="1:15" ht="24" hidden="1" customHeight="1">
      <c r="A19" s="847"/>
      <c r="B19" s="849"/>
      <c r="C19" s="460" t="s">
        <v>712</v>
      </c>
      <c r="D19" s="461">
        <f>H18</f>
        <v>0.74</v>
      </c>
      <c r="E19" s="461" t="str">
        <f>G18</f>
        <v>km</v>
      </c>
      <c r="F19" s="462" t="s">
        <v>715</v>
      </c>
      <c r="G19" s="854"/>
      <c r="H19" s="856"/>
      <c r="I19" s="858"/>
      <c r="J19" s="862"/>
      <c r="K19" s="860"/>
      <c r="L19" s="3"/>
    </row>
    <row r="20" spans="1:15" ht="15.75" customHeight="1">
      <c r="A20" s="64" t="s">
        <v>34</v>
      </c>
      <c r="B20" s="73" t="s">
        <v>408</v>
      </c>
      <c r="C20" s="800" t="s">
        <v>722</v>
      </c>
      <c r="D20" s="801"/>
      <c r="E20" s="801"/>
      <c r="F20" s="801"/>
      <c r="G20" s="801"/>
      <c r="H20" s="801"/>
      <c r="I20" s="801"/>
      <c r="J20" s="469"/>
      <c r="K20" s="455"/>
      <c r="L20" s="3"/>
    </row>
    <row r="21" spans="1:15" ht="15.75" customHeight="1">
      <c r="A21" s="552">
        <v>3</v>
      </c>
      <c r="B21" s="75" t="s">
        <v>412</v>
      </c>
      <c r="C21" s="843" t="s">
        <v>413</v>
      </c>
      <c r="D21" s="844"/>
      <c r="E21" s="844"/>
      <c r="F21" s="845"/>
      <c r="G21" s="552" t="s">
        <v>708</v>
      </c>
      <c r="H21" s="78">
        <f>'KI4-STARE'!I21</f>
        <v>150</v>
      </c>
      <c r="I21" s="443">
        <f>H22</f>
        <v>150</v>
      </c>
      <c r="J21" s="467"/>
      <c r="K21" s="389"/>
      <c r="L21" s="453"/>
      <c r="M21" s="441"/>
      <c r="N21" s="442"/>
      <c r="O21" s="527"/>
    </row>
    <row r="22" spans="1:15" ht="45" hidden="1" customHeight="1">
      <c r="A22" s="846"/>
      <c r="B22" s="863"/>
      <c r="C22" s="865" t="s">
        <v>733</v>
      </c>
      <c r="D22" s="866"/>
      <c r="E22" s="866"/>
      <c r="F22" s="867"/>
      <c r="G22" s="853" t="s">
        <v>708</v>
      </c>
      <c r="H22" s="855">
        <v>150</v>
      </c>
      <c r="I22" s="884" t="s">
        <v>34</v>
      </c>
      <c r="J22" s="444"/>
      <c r="K22" s="482"/>
      <c r="L22" s="453"/>
    </row>
    <row r="23" spans="1:15" ht="15.75" hidden="1" customHeight="1">
      <c r="A23" s="847"/>
      <c r="B23" s="864"/>
      <c r="C23" s="460" t="s">
        <v>713</v>
      </c>
      <c r="D23" s="483">
        <f>H22</f>
        <v>150</v>
      </c>
      <c r="E23" s="484" t="s">
        <v>708</v>
      </c>
      <c r="F23" s="462"/>
      <c r="G23" s="854"/>
      <c r="H23" s="856"/>
      <c r="I23" s="885"/>
      <c r="J23" s="444"/>
      <c r="K23" s="482"/>
      <c r="L23" s="453"/>
    </row>
    <row r="24" spans="1:15" ht="18" customHeight="1">
      <c r="A24" s="64" t="s">
        <v>34</v>
      </c>
      <c r="B24" s="571" t="s">
        <v>14</v>
      </c>
      <c r="C24" s="736" t="s">
        <v>108</v>
      </c>
      <c r="D24" s="736"/>
      <c r="E24" s="736"/>
      <c r="F24" s="736"/>
      <c r="G24" s="736"/>
      <c r="H24" s="736"/>
      <c r="I24" s="800"/>
      <c r="J24" s="469"/>
      <c r="K24" s="455"/>
      <c r="L24" s="3"/>
    </row>
    <row r="25" spans="1:15" s="14" customFormat="1" ht="31.5" customHeight="1">
      <c r="A25" s="74">
        <v>4</v>
      </c>
      <c r="B25" s="449" t="s">
        <v>418</v>
      </c>
      <c r="C25" s="843" t="s">
        <v>417</v>
      </c>
      <c r="D25" s="844"/>
      <c r="E25" s="844"/>
      <c r="F25" s="845"/>
      <c r="G25" s="74" t="s">
        <v>176</v>
      </c>
      <c r="H25" s="78">
        <f>'KI4-STARE'!I25</f>
        <v>1860</v>
      </c>
      <c r="I25" s="78">
        <f>H26</f>
        <v>1860</v>
      </c>
      <c r="J25" s="467"/>
      <c r="K25" s="389"/>
      <c r="L25" s="1"/>
    </row>
    <row r="26" spans="1:15" ht="54" hidden="1" customHeight="1">
      <c r="A26" s="846"/>
      <c r="B26" s="848"/>
      <c r="C26" s="850" t="s">
        <v>730</v>
      </c>
      <c r="D26" s="851"/>
      <c r="E26" s="851"/>
      <c r="F26" s="852"/>
      <c r="G26" s="853" t="s">
        <v>177</v>
      </c>
      <c r="H26" s="855">
        <v>1860</v>
      </c>
      <c r="I26" s="855" t="s">
        <v>34</v>
      </c>
      <c r="J26" s="861"/>
      <c r="K26" s="859"/>
      <c r="L26" s="3"/>
    </row>
    <row r="27" spans="1:15" ht="21" hidden="1" customHeight="1">
      <c r="A27" s="847"/>
      <c r="B27" s="849"/>
      <c r="C27" s="460" t="s">
        <v>713</v>
      </c>
      <c r="D27" s="461">
        <f>H26</f>
        <v>1860</v>
      </c>
      <c r="E27" s="463" t="str">
        <f>G26</f>
        <v>m2</v>
      </c>
      <c r="F27" s="462" t="s">
        <v>716</v>
      </c>
      <c r="G27" s="854"/>
      <c r="H27" s="856"/>
      <c r="I27" s="856"/>
      <c r="J27" s="862"/>
      <c r="K27" s="860"/>
      <c r="L27" s="3"/>
    </row>
    <row r="28" spans="1:15" ht="17.25" customHeight="1">
      <c r="A28" s="64" t="s">
        <v>34</v>
      </c>
      <c r="B28" s="571" t="s">
        <v>15</v>
      </c>
      <c r="C28" s="736" t="s">
        <v>10</v>
      </c>
      <c r="D28" s="736"/>
      <c r="E28" s="736"/>
      <c r="F28" s="736"/>
      <c r="G28" s="736"/>
      <c r="H28" s="736"/>
      <c r="I28" s="800"/>
      <c r="J28" s="469"/>
      <c r="K28" s="455"/>
      <c r="L28" s="3"/>
      <c r="M28" s="452"/>
    </row>
    <row r="29" spans="1:15" ht="17.25" customHeight="1">
      <c r="A29" s="74">
        <v>5</v>
      </c>
      <c r="B29" s="66" t="s">
        <v>735</v>
      </c>
      <c r="C29" s="843" t="s">
        <v>780</v>
      </c>
      <c r="D29" s="844"/>
      <c r="E29" s="844"/>
      <c r="F29" s="845"/>
      <c r="G29" s="74" t="s">
        <v>325</v>
      </c>
      <c r="H29" s="78">
        <f>'KI4-STARE'!I29</f>
        <v>1</v>
      </c>
      <c r="I29" s="78">
        <f>H30</f>
        <v>1</v>
      </c>
      <c r="J29" s="467"/>
      <c r="K29" s="389"/>
      <c r="L29" s="3"/>
      <c r="M29" s="452"/>
    </row>
    <row r="30" spans="1:15" ht="99.75" hidden="1" customHeight="1">
      <c r="A30" s="846"/>
      <c r="B30" s="848"/>
      <c r="C30" s="850" t="s">
        <v>840</v>
      </c>
      <c r="D30" s="851"/>
      <c r="E30" s="851"/>
      <c r="F30" s="852"/>
      <c r="G30" s="853" t="s">
        <v>325</v>
      </c>
      <c r="H30" s="855">
        <v>1</v>
      </c>
      <c r="I30" s="765" t="s">
        <v>34</v>
      </c>
      <c r="J30" s="467"/>
      <c r="K30" s="389"/>
      <c r="L30" s="418"/>
      <c r="M30" s="452"/>
    </row>
    <row r="31" spans="1:15" ht="20.25" hidden="1" customHeight="1">
      <c r="A31" s="847"/>
      <c r="B31" s="849"/>
      <c r="C31" s="460" t="s">
        <v>713</v>
      </c>
      <c r="D31" s="461">
        <f>H30</f>
        <v>1</v>
      </c>
      <c r="E31" s="463" t="s">
        <v>708</v>
      </c>
      <c r="F31" s="462" t="s">
        <v>811</v>
      </c>
      <c r="G31" s="854"/>
      <c r="H31" s="856"/>
      <c r="I31" s="765"/>
      <c r="J31" s="467"/>
      <c r="K31" s="389"/>
      <c r="L31" s="3"/>
      <c r="M31" s="452"/>
    </row>
    <row r="32" spans="1:15" ht="23.25" customHeight="1">
      <c r="A32" s="74">
        <v>6</v>
      </c>
      <c r="B32" s="66" t="s">
        <v>737</v>
      </c>
      <c r="C32" s="843" t="s">
        <v>738</v>
      </c>
      <c r="D32" s="844"/>
      <c r="E32" s="844"/>
      <c r="F32" s="845"/>
      <c r="G32" s="74" t="s">
        <v>11</v>
      </c>
      <c r="H32" s="78">
        <f>'KI4-STARE'!I32</f>
        <v>2</v>
      </c>
      <c r="I32" s="78">
        <f>H33</f>
        <v>2</v>
      </c>
      <c r="J32" s="467"/>
      <c r="K32" s="389"/>
      <c r="L32" s="3"/>
    </row>
    <row r="33" spans="1:143" ht="36.75" hidden="1" customHeight="1">
      <c r="A33" s="886"/>
      <c r="B33" s="888"/>
      <c r="C33" s="850" t="s">
        <v>841</v>
      </c>
      <c r="D33" s="851"/>
      <c r="E33" s="851"/>
      <c r="F33" s="852"/>
      <c r="G33" s="853" t="s">
        <v>11</v>
      </c>
      <c r="H33" s="855">
        <v>2</v>
      </c>
      <c r="I33" s="765" t="s">
        <v>34</v>
      </c>
      <c r="J33" s="467"/>
      <c r="K33" s="389"/>
      <c r="L33" s="3"/>
    </row>
    <row r="34" spans="1:143" ht="23.25" hidden="1" customHeight="1">
      <c r="A34" s="887"/>
      <c r="B34" s="889"/>
      <c r="C34" s="460" t="s">
        <v>712</v>
      </c>
      <c r="D34" s="461">
        <f>H33</f>
        <v>2</v>
      </c>
      <c r="E34" s="463" t="s">
        <v>11</v>
      </c>
      <c r="F34" s="462" t="s">
        <v>718</v>
      </c>
      <c r="G34" s="854"/>
      <c r="H34" s="856"/>
      <c r="I34" s="765"/>
      <c r="J34" s="467"/>
      <c r="K34" s="389"/>
      <c r="L34" s="3"/>
    </row>
    <row r="35" spans="1:143" ht="24" customHeight="1">
      <c r="A35" s="74">
        <v>7</v>
      </c>
      <c r="B35" s="75" t="s">
        <v>141</v>
      </c>
      <c r="C35" s="843" t="s">
        <v>138</v>
      </c>
      <c r="D35" s="844"/>
      <c r="E35" s="844"/>
      <c r="F35" s="845"/>
      <c r="G35" s="552" t="s">
        <v>9</v>
      </c>
      <c r="H35" s="78">
        <f>'KI4-STARE'!I35</f>
        <v>3</v>
      </c>
      <c r="I35" s="459">
        <f>H36</f>
        <v>3</v>
      </c>
      <c r="J35" s="467"/>
      <c r="K35" s="389"/>
      <c r="L35" s="3"/>
    </row>
    <row r="36" spans="1:143" ht="50.25" hidden="1" customHeight="1">
      <c r="A36" s="886"/>
      <c r="B36" s="888"/>
      <c r="C36" s="850" t="s">
        <v>781</v>
      </c>
      <c r="D36" s="851"/>
      <c r="E36" s="851"/>
      <c r="F36" s="852"/>
      <c r="G36" s="853" t="s">
        <v>9</v>
      </c>
      <c r="H36" s="855">
        <v>3</v>
      </c>
      <c r="I36" s="765" t="s">
        <v>34</v>
      </c>
      <c r="J36" s="467"/>
      <c r="K36" s="389"/>
      <c r="L36" s="3"/>
    </row>
    <row r="37" spans="1:143" ht="25.5" hidden="1" customHeight="1">
      <c r="A37" s="887"/>
      <c r="B37" s="889"/>
      <c r="C37" s="460" t="s">
        <v>717</v>
      </c>
      <c r="D37" s="461">
        <f>H36</f>
        <v>3</v>
      </c>
      <c r="E37" s="463" t="s">
        <v>9</v>
      </c>
      <c r="F37" s="462" t="s">
        <v>808</v>
      </c>
      <c r="G37" s="854"/>
      <c r="H37" s="856"/>
      <c r="I37" s="765"/>
      <c r="J37" s="467"/>
      <c r="K37" s="389"/>
      <c r="L37" s="3"/>
    </row>
    <row r="38" spans="1:143" ht="25.5" customHeight="1">
      <c r="A38" s="74">
        <v>8</v>
      </c>
      <c r="B38" s="75" t="s">
        <v>736</v>
      </c>
      <c r="C38" s="843" t="s">
        <v>139</v>
      </c>
      <c r="D38" s="844"/>
      <c r="E38" s="844"/>
      <c r="F38" s="845"/>
      <c r="G38" s="552" t="s">
        <v>9</v>
      </c>
      <c r="H38" s="78">
        <f>'KI4-STARE'!I38</f>
        <v>4</v>
      </c>
      <c r="I38" s="459">
        <f>H39</f>
        <v>4</v>
      </c>
      <c r="J38" s="467"/>
      <c r="K38" s="389"/>
      <c r="L38" s="3"/>
    </row>
    <row r="39" spans="1:143" ht="44.25" hidden="1" customHeight="1">
      <c r="A39" s="886"/>
      <c r="B39" s="888"/>
      <c r="C39" s="850" t="s">
        <v>782</v>
      </c>
      <c r="D39" s="851"/>
      <c r="E39" s="851"/>
      <c r="F39" s="852"/>
      <c r="G39" s="853" t="s">
        <v>9</v>
      </c>
      <c r="H39" s="855">
        <v>4</v>
      </c>
      <c r="I39" s="765" t="s">
        <v>34</v>
      </c>
      <c r="J39" s="444"/>
      <c r="K39" s="482"/>
      <c r="L39" s="3"/>
    </row>
    <row r="40" spans="1:143" ht="22.5" hidden="1" customHeight="1">
      <c r="A40" s="887"/>
      <c r="B40" s="889"/>
      <c r="C40" s="460" t="s">
        <v>717</v>
      </c>
      <c r="D40" s="461">
        <f>H39</f>
        <v>4</v>
      </c>
      <c r="E40" s="463" t="s">
        <v>9</v>
      </c>
      <c r="F40" s="462" t="s">
        <v>808</v>
      </c>
      <c r="G40" s="854"/>
      <c r="H40" s="856"/>
      <c r="I40" s="765"/>
      <c r="J40" s="444"/>
      <c r="K40" s="482"/>
      <c r="L40" s="3"/>
    </row>
    <row r="41" spans="1:143" ht="15.75">
      <c r="A41" s="837" t="s">
        <v>657</v>
      </c>
      <c r="B41" s="838"/>
      <c r="C41" s="838"/>
      <c r="D41" s="838"/>
      <c r="E41" s="838"/>
      <c r="F41" s="838"/>
      <c r="G41" s="838"/>
      <c r="H41" s="838"/>
      <c r="I41" s="838"/>
      <c r="J41" s="839"/>
      <c r="K41" s="445"/>
      <c r="L41" s="3"/>
    </row>
    <row r="42" spans="1:143" ht="26.25" customHeight="1">
      <c r="A42" s="21" t="s">
        <v>58</v>
      </c>
      <c r="B42" s="448" t="s">
        <v>111</v>
      </c>
      <c r="C42" s="880" t="s">
        <v>189</v>
      </c>
      <c r="D42" s="881"/>
      <c r="E42" s="881"/>
      <c r="F42" s="881"/>
      <c r="G42" s="881"/>
      <c r="H42" s="881"/>
      <c r="I42" s="881"/>
      <c r="J42" s="881"/>
      <c r="K42" s="882"/>
      <c r="L42" s="399"/>
      <c r="M42" s="452"/>
    </row>
    <row r="43" spans="1:143" s="15" customFormat="1" ht="21" customHeight="1">
      <c r="A43" s="64" t="s">
        <v>34</v>
      </c>
      <c r="B43" s="571" t="s">
        <v>142</v>
      </c>
      <c r="C43" s="736" t="s">
        <v>147</v>
      </c>
      <c r="D43" s="736"/>
      <c r="E43" s="736"/>
      <c r="F43" s="736"/>
      <c r="G43" s="736"/>
      <c r="H43" s="736"/>
      <c r="I43" s="800"/>
      <c r="J43" s="470"/>
      <c r="K43" s="455"/>
      <c r="L43" s="8"/>
      <c r="M43" s="8"/>
      <c r="N43" s="8"/>
      <c r="O43" s="8"/>
      <c r="P43" s="8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</row>
    <row r="44" spans="1:143" s="15" customFormat="1" ht="26.25" customHeight="1">
      <c r="A44" s="74">
        <v>9</v>
      </c>
      <c r="B44" s="572" t="s">
        <v>143</v>
      </c>
      <c r="C44" s="890" t="s">
        <v>146</v>
      </c>
      <c r="D44" s="891"/>
      <c r="E44" s="891"/>
      <c r="F44" s="892"/>
      <c r="G44" s="74" t="s">
        <v>179</v>
      </c>
      <c r="H44" s="78">
        <f>'KI4-STARE'!I44</f>
        <v>509.89</v>
      </c>
      <c r="I44" s="78">
        <f>H45</f>
        <v>509.89</v>
      </c>
      <c r="J44" s="467"/>
      <c r="K44" s="389"/>
      <c r="L44" s="285"/>
      <c r="M44" s="285"/>
      <c r="N44" s="285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</row>
    <row r="45" spans="1:143" s="15" customFormat="1" ht="85.5" hidden="1" customHeight="1">
      <c r="A45" s="846"/>
      <c r="B45" s="893"/>
      <c r="C45" s="850" t="s">
        <v>835</v>
      </c>
      <c r="D45" s="851"/>
      <c r="E45" s="851"/>
      <c r="F45" s="852"/>
      <c r="G45" s="853" t="s">
        <v>178</v>
      </c>
      <c r="H45" s="855">
        <f>(738*0.3*0.7+738*0.6*0.5+10*1.1*1.1*0.6+10*0.7*0.7*1+250*0.3*1)*1.1</f>
        <v>509.89</v>
      </c>
      <c r="I45" s="897" t="s">
        <v>34</v>
      </c>
      <c r="J45" s="861"/>
      <c r="K45" s="899"/>
      <c r="L45" s="285"/>
      <c r="M45" s="439"/>
      <c r="N45" s="57"/>
      <c r="O45" s="57"/>
      <c r="P45" s="21" t="s">
        <v>48</v>
      </c>
      <c r="Q45" s="21" t="s">
        <v>112</v>
      </c>
      <c r="R45" s="735" t="s">
        <v>758</v>
      </c>
      <c r="S45" s="735"/>
      <c r="T45" s="735"/>
      <c r="U45" s="735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</row>
    <row r="46" spans="1:143" s="15" customFormat="1" ht="18" hidden="1" customHeight="1">
      <c r="A46" s="847"/>
      <c r="B46" s="894"/>
      <c r="C46" s="460" t="s">
        <v>714</v>
      </c>
      <c r="D46" s="461">
        <f>H45</f>
        <v>509.89</v>
      </c>
      <c r="E46" s="463" t="str">
        <f>G45</f>
        <v>m3</v>
      </c>
      <c r="F46" s="462" t="s">
        <v>716</v>
      </c>
      <c r="G46" s="854"/>
      <c r="H46" s="856"/>
      <c r="I46" s="898"/>
      <c r="J46" s="862"/>
      <c r="K46" s="900"/>
      <c r="L46" s="285"/>
      <c r="M46" s="439"/>
      <c r="N46" s="57"/>
      <c r="O46" s="57"/>
      <c r="P46" s="64" t="s">
        <v>34</v>
      </c>
      <c r="Q46" s="64" t="s">
        <v>150</v>
      </c>
      <c r="R46" s="736" t="s">
        <v>151</v>
      </c>
      <c r="S46" s="736"/>
      <c r="T46" s="736"/>
      <c r="U46" s="736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</row>
    <row r="47" spans="1:143" s="14" customFormat="1" ht="21" customHeight="1">
      <c r="A47" s="64" t="s">
        <v>34</v>
      </c>
      <c r="B47" s="571" t="s">
        <v>70</v>
      </c>
      <c r="C47" s="800" t="s">
        <v>71</v>
      </c>
      <c r="D47" s="801"/>
      <c r="E47" s="801"/>
      <c r="F47" s="801"/>
      <c r="G47" s="801"/>
      <c r="H47" s="801"/>
      <c r="I47" s="801"/>
      <c r="J47" s="471"/>
      <c r="K47" s="455"/>
      <c r="L47" s="8"/>
      <c r="P47" s="379">
        <v>19</v>
      </c>
      <c r="Q47" s="66" t="s">
        <v>759</v>
      </c>
      <c r="R47" s="108" t="s">
        <v>760</v>
      </c>
      <c r="S47" s="458" t="s">
        <v>179</v>
      </c>
      <c r="T47" s="566" t="s">
        <v>34</v>
      </c>
      <c r="U47" s="566">
        <f>T48</f>
        <v>3.3</v>
      </c>
    </row>
    <row r="48" spans="1:143" s="14" customFormat="1" ht="35.25" customHeight="1">
      <c r="A48" s="379">
        <v>10</v>
      </c>
      <c r="B48" s="572" t="s">
        <v>148</v>
      </c>
      <c r="C48" s="843" t="s">
        <v>460</v>
      </c>
      <c r="D48" s="844"/>
      <c r="E48" s="844"/>
      <c r="F48" s="845"/>
      <c r="G48" s="86" t="s">
        <v>179</v>
      </c>
      <c r="H48" s="78">
        <f>'KI4-STARE'!I48</f>
        <v>797.04</v>
      </c>
      <c r="I48" s="87">
        <f>H49</f>
        <v>797.04</v>
      </c>
      <c r="J48" s="467"/>
      <c r="K48" s="389"/>
      <c r="L48" s="8"/>
      <c r="N48" s="286"/>
      <c r="P48" s="379"/>
      <c r="Q48" s="75"/>
      <c r="R48" s="109" t="s">
        <v>761</v>
      </c>
      <c r="S48" s="81" t="s">
        <v>178</v>
      </c>
      <c r="T48" s="82">
        <v>3.3</v>
      </c>
      <c r="U48" s="82" t="s">
        <v>34</v>
      </c>
    </row>
    <row r="49" spans="1:21" s="14" customFormat="1" ht="34.5" hidden="1" customHeight="1">
      <c r="A49" s="895"/>
      <c r="B49" s="893"/>
      <c r="C49" s="850" t="s">
        <v>836</v>
      </c>
      <c r="D49" s="851"/>
      <c r="E49" s="851"/>
      <c r="F49" s="852"/>
      <c r="G49" s="853" t="s">
        <v>178</v>
      </c>
      <c r="H49" s="855">
        <f>1.8*0.6*738</f>
        <v>797.04</v>
      </c>
      <c r="I49" s="855" t="s">
        <v>34</v>
      </c>
      <c r="J49" s="899"/>
      <c r="K49" s="859"/>
      <c r="L49" s="8"/>
      <c r="M49" s="286"/>
      <c r="P49" s="64" t="s">
        <v>34</v>
      </c>
      <c r="Q49" s="64" t="s">
        <v>155</v>
      </c>
      <c r="R49" s="736" t="s">
        <v>762</v>
      </c>
      <c r="S49" s="736"/>
      <c r="T49" s="736"/>
      <c r="U49" s="736"/>
    </row>
    <row r="50" spans="1:21" s="14" customFormat="1" ht="30.75" hidden="1" customHeight="1">
      <c r="A50" s="896"/>
      <c r="B50" s="894"/>
      <c r="C50" s="460" t="s">
        <v>714</v>
      </c>
      <c r="D50" s="461">
        <f>H49</f>
        <v>797.04</v>
      </c>
      <c r="E50" s="463" t="str">
        <f>G49</f>
        <v>m3</v>
      </c>
      <c r="F50" s="462" t="s">
        <v>716</v>
      </c>
      <c r="G50" s="854"/>
      <c r="H50" s="856"/>
      <c r="I50" s="856"/>
      <c r="J50" s="900"/>
      <c r="K50" s="860"/>
      <c r="L50" s="8"/>
      <c r="M50" s="286"/>
    </row>
    <row r="51" spans="1:21" s="14" customFormat="1" ht="24" hidden="1" customHeight="1">
      <c r="A51" s="837" t="s">
        <v>659</v>
      </c>
      <c r="B51" s="838"/>
      <c r="C51" s="838"/>
      <c r="D51" s="838"/>
      <c r="E51" s="838"/>
      <c r="F51" s="838"/>
      <c r="G51" s="838"/>
      <c r="H51" s="838"/>
      <c r="I51" s="838"/>
      <c r="J51" s="839"/>
      <c r="K51" s="479" t="e">
        <f>K48+#REF!+#REF!+K44</f>
        <v>#REF!</v>
      </c>
      <c r="L51" s="399" t="e">
        <f>K51</f>
        <v>#REF!</v>
      </c>
      <c r="M51" s="286"/>
      <c r="N51" s="548"/>
    </row>
    <row r="52" spans="1:21" ht="15.75">
      <c r="A52" s="837" t="s">
        <v>659</v>
      </c>
      <c r="B52" s="838"/>
      <c r="C52" s="838"/>
      <c r="D52" s="838"/>
      <c r="E52" s="838"/>
      <c r="F52" s="838"/>
      <c r="G52" s="838"/>
      <c r="H52" s="838"/>
      <c r="I52" s="838"/>
      <c r="J52" s="839"/>
      <c r="K52" s="445"/>
      <c r="L52" s="3"/>
    </row>
    <row r="53" spans="1:21" s="14" customFormat="1" ht="31.5" customHeight="1">
      <c r="A53" s="21" t="s">
        <v>48</v>
      </c>
      <c r="B53" s="21" t="s">
        <v>112</v>
      </c>
      <c r="C53" s="880" t="s">
        <v>768</v>
      </c>
      <c r="D53" s="881"/>
      <c r="E53" s="881"/>
      <c r="F53" s="881"/>
      <c r="G53" s="881"/>
      <c r="H53" s="881"/>
      <c r="I53" s="881"/>
      <c r="J53" s="881"/>
      <c r="K53" s="882"/>
      <c r="L53" s="399"/>
      <c r="M53" s="286"/>
      <c r="N53" s="548"/>
    </row>
    <row r="54" spans="1:21" s="14" customFormat="1" ht="21.75" customHeight="1">
      <c r="A54" s="64" t="s">
        <v>34</v>
      </c>
      <c r="B54" s="64" t="s">
        <v>94</v>
      </c>
      <c r="C54" s="800" t="s">
        <v>95</v>
      </c>
      <c r="D54" s="801"/>
      <c r="E54" s="801"/>
      <c r="F54" s="801"/>
      <c r="G54" s="801"/>
      <c r="H54" s="801"/>
      <c r="I54" s="801"/>
      <c r="J54" s="801"/>
      <c r="K54" s="802"/>
      <c r="L54" s="399"/>
      <c r="M54" s="286"/>
      <c r="N54" s="548"/>
    </row>
    <row r="55" spans="1:21" s="14" customFormat="1" ht="27" customHeight="1">
      <c r="A55" s="74">
        <v>11</v>
      </c>
      <c r="B55" s="66" t="s">
        <v>793</v>
      </c>
      <c r="C55" s="843" t="s">
        <v>791</v>
      </c>
      <c r="D55" s="844"/>
      <c r="E55" s="844"/>
      <c r="F55" s="845"/>
      <c r="G55" s="458" t="s">
        <v>11</v>
      </c>
      <c r="H55" s="78">
        <f>'KI4-STARE'!I55</f>
        <v>158</v>
      </c>
      <c r="I55" s="566" t="str">
        <f>H56</f>
        <v>x</v>
      </c>
      <c r="J55" s="467"/>
      <c r="K55" s="389"/>
      <c r="L55" s="399"/>
      <c r="M55" s="286"/>
      <c r="N55" s="548"/>
    </row>
    <row r="56" spans="1:21" s="14" customFormat="1" ht="57" hidden="1" customHeight="1">
      <c r="A56" s="846"/>
      <c r="B56" s="846"/>
      <c r="C56" s="911" t="s">
        <v>792</v>
      </c>
      <c r="D56" s="911"/>
      <c r="E56" s="911"/>
      <c r="F56" s="911"/>
      <c r="G56" s="853" t="s">
        <v>11</v>
      </c>
      <c r="H56" s="78" t="str">
        <f>'KI4-STARE'!I56</f>
        <v>x</v>
      </c>
      <c r="I56" s="905" t="s">
        <v>34</v>
      </c>
      <c r="J56" s="467"/>
      <c r="K56" s="389"/>
      <c r="L56" s="531"/>
      <c r="M56" s="286"/>
      <c r="N56" s="548"/>
    </row>
    <row r="57" spans="1:21" s="14" customFormat="1" ht="21.75" hidden="1" customHeight="1">
      <c r="A57" s="910"/>
      <c r="B57" s="910"/>
      <c r="C57" s="532" t="s">
        <v>712</v>
      </c>
      <c r="D57" s="461" t="str">
        <f>H56</f>
        <v>x</v>
      </c>
      <c r="E57" s="461" t="s">
        <v>11</v>
      </c>
      <c r="F57" s="462" t="s">
        <v>716</v>
      </c>
      <c r="G57" s="854"/>
      <c r="H57" s="78">
        <f>'KI4-STARE'!I57</f>
        <v>0</v>
      </c>
      <c r="I57" s="906"/>
      <c r="J57" s="467"/>
      <c r="K57" s="389"/>
      <c r="L57" s="399"/>
      <c r="M57" s="286"/>
      <c r="N57" s="548"/>
    </row>
    <row r="58" spans="1:21" s="14" customFormat="1" ht="21.75" hidden="1" customHeight="1">
      <c r="A58" s="910"/>
      <c r="B58" s="910"/>
      <c r="C58" s="902" t="s">
        <v>158</v>
      </c>
      <c r="D58" s="903"/>
      <c r="E58" s="903"/>
      <c r="F58" s="904"/>
      <c r="G58" s="853" t="s">
        <v>34</v>
      </c>
      <c r="H58" s="78" t="str">
        <f>'KI4-STARE'!I58</f>
        <v>x</v>
      </c>
      <c r="I58" s="853" t="s">
        <v>34</v>
      </c>
      <c r="J58" s="467"/>
      <c r="K58" s="389"/>
      <c r="L58" s="399"/>
      <c r="M58" s="286"/>
      <c r="N58" s="548"/>
    </row>
    <row r="59" spans="1:21" s="14" customFormat="1" ht="33.75" hidden="1" customHeight="1">
      <c r="A59" s="910"/>
      <c r="B59" s="910"/>
      <c r="C59" s="902" t="s">
        <v>837</v>
      </c>
      <c r="D59" s="903"/>
      <c r="E59" s="903"/>
      <c r="F59" s="904"/>
      <c r="G59" s="901"/>
      <c r="H59" s="78">
        <f>'KI4-STARE'!I59</f>
        <v>0</v>
      </c>
      <c r="I59" s="901"/>
      <c r="J59" s="467"/>
      <c r="K59" s="389"/>
      <c r="L59" s="399"/>
      <c r="M59" s="286"/>
      <c r="N59" s="548"/>
    </row>
    <row r="60" spans="1:21" s="14" customFormat="1" ht="30.75" hidden="1" customHeight="1">
      <c r="A60" s="847"/>
      <c r="B60" s="847"/>
      <c r="C60" s="902" t="s">
        <v>839</v>
      </c>
      <c r="D60" s="903"/>
      <c r="E60" s="903"/>
      <c r="F60" s="904"/>
      <c r="G60" s="854"/>
      <c r="H60" s="78">
        <f>'KI4-STARE'!I60</f>
        <v>0</v>
      </c>
      <c r="I60" s="854"/>
      <c r="J60" s="467"/>
      <c r="K60" s="389"/>
      <c r="L60" s="399"/>
      <c r="M60" s="286"/>
      <c r="N60" s="548"/>
    </row>
    <row r="61" spans="1:21" s="14" customFormat="1" ht="32.25" customHeight="1">
      <c r="A61" s="74">
        <v>12</v>
      </c>
      <c r="B61" s="66" t="s">
        <v>790</v>
      </c>
      <c r="C61" s="843" t="s">
        <v>788</v>
      </c>
      <c r="D61" s="844"/>
      <c r="E61" s="844"/>
      <c r="F61" s="845"/>
      <c r="G61" s="458" t="s">
        <v>11</v>
      </c>
      <c r="H61" s="78">
        <f>'KI4-STARE'!I61</f>
        <v>540</v>
      </c>
      <c r="I61" s="566" t="str">
        <f>H62</f>
        <v>x</v>
      </c>
      <c r="J61" s="467"/>
      <c r="K61" s="389"/>
      <c r="L61" s="399"/>
      <c r="M61" s="286"/>
      <c r="N61" s="548"/>
    </row>
    <row r="62" spans="1:21" s="14" customFormat="1" ht="52.5" hidden="1" customHeight="1">
      <c r="A62" s="846"/>
      <c r="B62" s="846"/>
      <c r="C62" s="911" t="s">
        <v>789</v>
      </c>
      <c r="D62" s="911"/>
      <c r="E62" s="911"/>
      <c r="F62" s="911"/>
      <c r="G62" s="853" t="s">
        <v>11</v>
      </c>
      <c r="H62" s="78" t="str">
        <f>'KI4-STARE'!I62</f>
        <v>x</v>
      </c>
      <c r="I62" s="905" t="s">
        <v>34</v>
      </c>
      <c r="J62" s="467"/>
      <c r="K62" s="389"/>
      <c r="L62" s="399"/>
      <c r="M62" s="286"/>
      <c r="N62" s="548"/>
    </row>
    <row r="63" spans="1:21" s="14" customFormat="1" ht="19.5" hidden="1" customHeight="1">
      <c r="A63" s="910"/>
      <c r="B63" s="910"/>
      <c r="C63" s="532" t="s">
        <v>712</v>
      </c>
      <c r="D63" s="461" t="str">
        <f>H62</f>
        <v>x</v>
      </c>
      <c r="E63" s="461" t="s">
        <v>11</v>
      </c>
      <c r="F63" s="462" t="s">
        <v>716</v>
      </c>
      <c r="G63" s="854"/>
      <c r="H63" s="78">
        <f>'KI4-STARE'!I63</f>
        <v>0</v>
      </c>
      <c r="I63" s="906"/>
      <c r="J63" s="467"/>
      <c r="K63" s="389"/>
      <c r="L63" s="399"/>
      <c r="M63" s="286"/>
      <c r="N63" s="548"/>
    </row>
    <row r="64" spans="1:21" s="14" customFormat="1" ht="19.5" hidden="1" customHeight="1">
      <c r="A64" s="910"/>
      <c r="B64" s="910"/>
      <c r="C64" s="902" t="s">
        <v>158</v>
      </c>
      <c r="D64" s="903"/>
      <c r="E64" s="903"/>
      <c r="F64" s="904"/>
      <c r="G64" s="853" t="s">
        <v>34</v>
      </c>
      <c r="H64" s="78" t="str">
        <f>'KI4-STARE'!I64</f>
        <v>x</v>
      </c>
      <c r="I64" s="853" t="s">
        <v>34</v>
      </c>
      <c r="J64" s="467"/>
      <c r="K64" s="389"/>
      <c r="L64" s="399"/>
      <c r="M64" s="286"/>
      <c r="N64" s="548"/>
    </row>
    <row r="65" spans="1:14" s="14" customFormat="1" ht="36" hidden="1" customHeight="1">
      <c r="A65" s="910"/>
      <c r="B65" s="910"/>
      <c r="C65" s="902" t="s">
        <v>838</v>
      </c>
      <c r="D65" s="903"/>
      <c r="E65" s="903"/>
      <c r="F65" s="904"/>
      <c r="G65" s="901"/>
      <c r="H65" s="78">
        <f>'KI4-STARE'!I65</f>
        <v>0</v>
      </c>
      <c r="I65" s="901"/>
      <c r="J65" s="467"/>
      <c r="K65" s="389"/>
      <c r="L65" s="399"/>
      <c r="M65" s="286"/>
      <c r="N65" s="548"/>
    </row>
    <row r="66" spans="1:14" s="14" customFormat="1" ht="36" hidden="1" customHeight="1">
      <c r="A66" s="847"/>
      <c r="B66" s="847"/>
      <c r="C66" s="902" t="s">
        <v>839</v>
      </c>
      <c r="D66" s="903"/>
      <c r="E66" s="903"/>
      <c r="F66" s="904"/>
      <c r="G66" s="854"/>
      <c r="H66" s="78">
        <f>'KI4-STARE'!I66</f>
        <v>0</v>
      </c>
      <c r="I66" s="854"/>
      <c r="J66" s="467"/>
      <c r="K66" s="389"/>
      <c r="L66" s="399"/>
      <c r="M66" s="286"/>
      <c r="N66" s="548"/>
    </row>
    <row r="67" spans="1:14" s="14" customFormat="1" ht="24" customHeight="1">
      <c r="A67" s="552">
        <v>13</v>
      </c>
      <c r="B67" s="66" t="s">
        <v>790</v>
      </c>
      <c r="C67" s="843" t="s">
        <v>833</v>
      </c>
      <c r="D67" s="844"/>
      <c r="E67" s="844"/>
      <c r="F67" s="845"/>
      <c r="G67" s="552" t="s">
        <v>11</v>
      </c>
      <c r="H67" s="78">
        <f>'KI4-STARE'!I67</f>
        <v>8</v>
      </c>
      <c r="I67" s="543" t="str">
        <f>H68</f>
        <v>x</v>
      </c>
      <c r="J67" s="467"/>
      <c r="K67" s="389"/>
      <c r="L67" s="399"/>
      <c r="M67" s="286"/>
      <c r="N67" s="548"/>
    </row>
    <row r="68" spans="1:14" s="14" customFormat="1" ht="103.5" hidden="1" customHeight="1">
      <c r="A68" s="846"/>
      <c r="B68" s="863"/>
      <c r="C68" s="907" t="s">
        <v>834</v>
      </c>
      <c r="D68" s="908"/>
      <c r="E68" s="908"/>
      <c r="F68" s="909"/>
      <c r="G68" s="550" t="s">
        <v>11</v>
      </c>
      <c r="H68" s="78" t="str">
        <f>'KI4-STARE'!I68</f>
        <v>x</v>
      </c>
      <c r="I68" s="540" t="s">
        <v>34</v>
      </c>
      <c r="J68" s="467"/>
      <c r="K68" s="389"/>
      <c r="L68" s="399"/>
      <c r="M68" s="286"/>
      <c r="N68" s="548"/>
    </row>
    <row r="69" spans="1:14" s="14" customFormat="1" ht="19.5" hidden="1" customHeight="1">
      <c r="A69" s="847"/>
      <c r="B69" s="864"/>
      <c r="C69" s="532" t="s">
        <v>712</v>
      </c>
      <c r="D69" s="461">
        <v>8</v>
      </c>
      <c r="E69" s="461" t="s">
        <v>11</v>
      </c>
      <c r="F69" s="462" t="s">
        <v>715</v>
      </c>
      <c r="G69" s="550"/>
      <c r="H69" s="78">
        <f>'KI4-STARE'!I69</f>
        <v>0</v>
      </c>
      <c r="I69" s="540"/>
      <c r="J69" s="467"/>
      <c r="K69" s="389"/>
      <c r="L69" s="399"/>
      <c r="M69" s="286"/>
      <c r="N69" s="548"/>
    </row>
    <row r="70" spans="1:14" s="14" customFormat="1" ht="24" customHeight="1">
      <c r="A70" s="525">
        <v>14</v>
      </c>
      <c r="B70" s="66" t="s">
        <v>770</v>
      </c>
      <c r="C70" s="843" t="s">
        <v>771</v>
      </c>
      <c r="D70" s="844"/>
      <c r="E70" s="844"/>
      <c r="F70" s="845"/>
      <c r="G70" s="458" t="s">
        <v>11</v>
      </c>
      <c r="H70" s="78">
        <f>'KI4-STARE'!I70</f>
        <v>10.8</v>
      </c>
      <c r="I70" s="566" t="str">
        <f>H71</f>
        <v>x</v>
      </c>
      <c r="J70" s="467"/>
      <c r="K70" s="389"/>
      <c r="L70" s="399"/>
      <c r="M70" s="286"/>
      <c r="N70" s="548"/>
    </row>
    <row r="71" spans="1:14" s="14" customFormat="1" ht="48.75" hidden="1" customHeight="1">
      <c r="A71" s="912"/>
      <c r="B71" s="914"/>
      <c r="C71" s="850" t="s">
        <v>787</v>
      </c>
      <c r="D71" s="851"/>
      <c r="E71" s="851"/>
      <c r="F71" s="852"/>
      <c r="G71" s="853" t="s">
        <v>11</v>
      </c>
      <c r="H71" s="78" t="str">
        <f>'KI4-STARE'!I71</f>
        <v>x</v>
      </c>
      <c r="I71" s="905" t="s">
        <v>34</v>
      </c>
      <c r="J71" s="467"/>
      <c r="K71" s="389"/>
      <c r="L71" s="530"/>
      <c r="M71" s="286"/>
      <c r="N71" s="548"/>
    </row>
    <row r="72" spans="1:14" s="14" customFormat="1" ht="21.75" hidden="1" customHeight="1">
      <c r="A72" s="913"/>
      <c r="B72" s="915"/>
      <c r="C72" s="508" t="s">
        <v>712</v>
      </c>
      <c r="D72" s="461" t="str">
        <f>H71</f>
        <v>x</v>
      </c>
      <c r="E72" s="461" t="s">
        <v>11</v>
      </c>
      <c r="F72" s="462" t="s">
        <v>716</v>
      </c>
      <c r="G72" s="854"/>
      <c r="H72" s="78">
        <f>'KI4-STARE'!I72</f>
        <v>0</v>
      </c>
      <c r="I72" s="906"/>
      <c r="J72" s="467"/>
      <c r="K72" s="389"/>
      <c r="L72" s="399"/>
      <c r="M72" s="286"/>
      <c r="N72" s="548"/>
    </row>
    <row r="73" spans="1:14" s="14" customFormat="1" ht="24" customHeight="1">
      <c r="A73" s="525">
        <v>15</v>
      </c>
      <c r="B73" s="66" t="s">
        <v>469</v>
      </c>
      <c r="C73" s="843" t="s">
        <v>786</v>
      </c>
      <c r="D73" s="844"/>
      <c r="E73" s="844"/>
      <c r="F73" s="845"/>
      <c r="G73" s="458" t="s">
        <v>12</v>
      </c>
      <c r="H73" s="78">
        <f>'KI4-STARE'!I73</f>
        <v>10</v>
      </c>
      <c r="I73" s="566" t="str">
        <f>H74</f>
        <v>x</v>
      </c>
      <c r="J73" s="467"/>
      <c r="K73" s="389"/>
      <c r="L73" s="399"/>
      <c r="M73" s="286"/>
      <c r="N73" s="548"/>
    </row>
    <row r="74" spans="1:14" s="14" customFormat="1" ht="63" hidden="1" customHeight="1">
      <c r="A74" s="912"/>
      <c r="B74" s="914"/>
      <c r="C74" s="850" t="s">
        <v>794</v>
      </c>
      <c r="D74" s="851"/>
      <c r="E74" s="851"/>
      <c r="F74" s="852"/>
      <c r="G74" s="853" t="s">
        <v>12</v>
      </c>
      <c r="H74" s="78" t="str">
        <f>'KI4-STARE'!I74</f>
        <v>x</v>
      </c>
      <c r="I74" s="905" t="s">
        <v>34</v>
      </c>
      <c r="J74" s="467"/>
      <c r="K74" s="389"/>
      <c r="L74" s="399"/>
      <c r="M74" s="286"/>
      <c r="N74" s="548"/>
    </row>
    <row r="75" spans="1:14" s="14" customFormat="1" ht="21" hidden="1" customHeight="1">
      <c r="A75" s="913"/>
      <c r="B75" s="915"/>
      <c r="C75" s="508" t="s">
        <v>717</v>
      </c>
      <c r="D75" s="461" t="str">
        <f>H74</f>
        <v>x</v>
      </c>
      <c r="E75" s="461" t="s">
        <v>9</v>
      </c>
      <c r="F75" s="462" t="s">
        <v>716</v>
      </c>
      <c r="G75" s="854"/>
      <c r="H75" s="78">
        <f>'KI4-STARE'!I75</f>
        <v>0</v>
      </c>
      <c r="I75" s="906"/>
      <c r="J75" s="467"/>
      <c r="K75" s="389"/>
      <c r="L75" s="399"/>
      <c r="M75" s="286"/>
      <c r="N75" s="548"/>
    </row>
    <row r="76" spans="1:14" s="14" customFormat="1" ht="34.5" customHeight="1">
      <c r="A76" s="379">
        <v>16</v>
      </c>
      <c r="B76" s="66" t="s">
        <v>160</v>
      </c>
      <c r="C76" s="762" t="s">
        <v>783</v>
      </c>
      <c r="D76" s="762"/>
      <c r="E76" s="762"/>
      <c r="F76" s="762"/>
      <c r="G76" s="458" t="s">
        <v>12</v>
      </c>
      <c r="H76" s="78">
        <f>'KI4-STARE'!I76</f>
        <v>9</v>
      </c>
      <c r="I76" s="566" t="str">
        <f>H77</f>
        <v>x</v>
      </c>
      <c r="J76" s="467"/>
      <c r="K76" s="389"/>
      <c r="L76" s="399"/>
      <c r="M76" s="286"/>
      <c r="N76" s="548"/>
    </row>
    <row r="77" spans="1:14" s="14" customFormat="1" ht="60.75" hidden="1" customHeight="1">
      <c r="A77" s="895"/>
      <c r="B77" s="916"/>
      <c r="C77" s="850" t="s">
        <v>784</v>
      </c>
      <c r="D77" s="851"/>
      <c r="E77" s="851"/>
      <c r="F77" s="852"/>
      <c r="G77" s="853" t="s">
        <v>12</v>
      </c>
      <c r="H77" s="78" t="str">
        <f>'KI4-STARE'!I77</f>
        <v>x</v>
      </c>
      <c r="I77" s="905" t="s">
        <v>34</v>
      </c>
      <c r="J77" s="467"/>
      <c r="K77" s="389"/>
      <c r="L77" s="399"/>
      <c r="M77" s="286"/>
      <c r="N77" s="548"/>
    </row>
    <row r="78" spans="1:14" s="14" customFormat="1" ht="20.25" hidden="1" customHeight="1">
      <c r="A78" s="896"/>
      <c r="B78" s="917"/>
      <c r="C78" s="513" t="s">
        <v>717</v>
      </c>
      <c r="D78" s="461">
        <v>9</v>
      </c>
      <c r="E78" s="461" t="s">
        <v>9</v>
      </c>
      <c r="F78" s="462" t="s">
        <v>769</v>
      </c>
      <c r="G78" s="854"/>
      <c r="H78" s="78">
        <f>'KI4-STARE'!I78</f>
        <v>0</v>
      </c>
      <c r="I78" s="906"/>
      <c r="J78" s="467"/>
      <c r="K78" s="389"/>
      <c r="L78" s="399"/>
      <c r="M78" s="286"/>
      <c r="N78" s="548"/>
    </row>
    <row r="79" spans="1:14" s="14" customFormat="1" ht="33.75" customHeight="1">
      <c r="A79" s="379">
        <v>17</v>
      </c>
      <c r="B79" s="66" t="s">
        <v>160</v>
      </c>
      <c r="C79" s="762" t="s">
        <v>795</v>
      </c>
      <c r="D79" s="762"/>
      <c r="E79" s="762"/>
      <c r="F79" s="762"/>
      <c r="G79" s="458" t="s">
        <v>12</v>
      </c>
      <c r="H79" s="78">
        <f>'KI4-STARE'!I79</f>
        <v>1</v>
      </c>
      <c r="I79" s="566">
        <f>H80</f>
        <v>1</v>
      </c>
      <c r="J79" s="467"/>
      <c r="K79" s="389"/>
      <c r="L79" s="399"/>
      <c r="M79" s="286"/>
      <c r="N79" s="548"/>
    </row>
    <row r="80" spans="1:14" s="14" customFormat="1" ht="59.25" hidden="1" customHeight="1">
      <c r="A80" s="895"/>
      <c r="B80" s="916"/>
      <c r="C80" s="850" t="s">
        <v>785</v>
      </c>
      <c r="D80" s="851"/>
      <c r="E80" s="851"/>
      <c r="F80" s="852"/>
      <c r="G80" s="853" t="s">
        <v>12</v>
      </c>
      <c r="H80" s="855">
        <v>1</v>
      </c>
      <c r="I80" s="905" t="s">
        <v>34</v>
      </c>
      <c r="J80" s="576"/>
      <c r="K80" s="489"/>
      <c r="L80" s="399"/>
      <c r="M80" s="286"/>
      <c r="N80" s="548"/>
    </row>
    <row r="81" spans="1:21" s="14" customFormat="1" ht="33" hidden="1" customHeight="1">
      <c r="A81" s="896"/>
      <c r="B81" s="917"/>
      <c r="C81" s="513" t="s">
        <v>717</v>
      </c>
      <c r="D81" s="461">
        <v>1</v>
      </c>
      <c r="E81" s="461" t="s">
        <v>9</v>
      </c>
      <c r="F81" s="462" t="s">
        <v>769</v>
      </c>
      <c r="G81" s="854"/>
      <c r="H81" s="856"/>
      <c r="I81" s="906"/>
      <c r="J81" s="576"/>
      <c r="K81" s="489"/>
      <c r="L81" s="399"/>
      <c r="M81" s="286"/>
      <c r="N81" s="548"/>
    </row>
    <row r="82" spans="1:21" ht="15.75">
      <c r="A82" s="837" t="s">
        <v>661</v>
      </c>
      <c r="B82" s="838"/>
      <c r="C82" s="838"/>
      <c r="D82" s="838"/>
      <c r="E82" s="838"/>
      <c r="F82" s="838"/>
      <c r="G82" s="838"/>
      <c r="H82" s="838"/>
      <c r="I82" s="838"/>
      <c r="J82" s="839"/>
      <c r="K82" s="445"/>
      <c r="L82" s="3"/>
    </row>
    <row r="83" spans="1:21" s="3" customFormat="1" ht="29.25" customHeight="1">
      <c r="A83" s="21" t="s">
        <v>49</v>
      </c>
      <c r="B83" s="448" t="s">
        <v>57</v>
      </c>
      <c r="C83" s="737" t="s">
        <v>181</v>
      </c>
      <c r="D83" s="737"/>
      <c r="E83" s="737"/>
      <c r="F83" s="737"/>
      <c r="G83" s="737"/>
      <c r="H83" s="737"/>
      <c r="I83" s="797"/>
      <c r="J83" s="472"/>
      <c r="K83" s="456"/>
      <c r="P83" s="74">
        <v>58</v>
      </c>
      <c r="Q83" s="569" t="s">
        <v>763</v>
      </c>
      <c r="R83" s="565" t="s">
        <v>764</v>
      </c>
      <c r="S83" s="458" t="str">
        <f>S84</f>
        <v>szt</v>
      </c>
      <c r="T83" s="566" t="s">
        <v>34</v>
      </c>
      <c r="U83" s="566">
        <f>T84</f>
        <v>9</v>
      </c>
    </row>
    <row r="84" spans="1:21" s="1" customFormat="1" ht="18" customHeight="1">
      <c r="A84" s="64" t="s">
        <v>34</v>
      </c>
      <c r="B84" s="571" t="s">
        <v>98</v>
      </c>
      <c r="C84" s="736" t="s">
        <v>99</v>
      </c>
      <c r="D84" s="736"/>
      <c r="E84" s="736"/>
      <c r="F84" s="736"/>
      <c r="G84" s="736"/>
      <c r="H84" s="736"/>
      <c r="I84" s="800"/>
      <c r="J84" s="471"/>
      <c r="K84" s="454"/>
      <c r="L84" s="3"/>
      <c r="P84" s="567"/>
      <c r="Q84" s="574"/>
      <c r="R84" s="573" t="s">
        <v>765</v>
      </c>
      <c r="S84" s="567" t="s">
        <v>12</v>
      </c>
      <c r="T84" s="568">
        <v>9</v>
      </c>
      <c r="U84" s="566" t="s">
        <v>34</v>
      </c>
    </row>
    <row r="85" spans="1:21" s="1" customFormat="1" ht="27.75" customHeight="1">
      <c r="A85" s="86">
        <v>18</v>
      </c>
      <c r="B85" s="431" t="s">
        <v>209</v>
      </c>
      <c r="C85" s="794" t="s">
        <v>796</v>
      </c>
      <c r="D85" s="795"/>
      <c r="E85" s="795"/>
      <c r="F85" s="796"/>
      <c r="G85" s="86" t="s">
        <v>176</v>
      </c>
      <c r="H85" s="78">
        <f>'KI4-STARE'!I85</f>
        <v>7585.9</v>
      </c>
      <c r="I85" s="87" t="str">
        <f>H86</f>
        <v>x</v>
      </c>
      <c r="J85" s="467"/>
      <c r="K85" s="389"/>
      <c r="L85" s="3"/>
      <c r="P85" s="567" t="s">
        <v>766</v>
      </c>
      <c r="Q85" s="574" t="s">
        <v>763</v>
      </c>
      <c r="R85" s="573" t="s">
        <v>767</v>
      </c>
      <c r="S85" s="567" t="s">
        <v>178</v>
      </c>
      <c r="T85" s="568">
        <f>8.8*5*0.2</f>
        <v>8.8000000000000007</v>
      </c>
      <c r="U85" s="566" t="s">
        <v>34</v>
      </c>
    </row>
    <row r="86" spans="1:21" s="1" customFormat="1" ht="58.5" hidden="1" customHeight="1">
      <c r="A86" s="918"/>
      <c r="B86" s="920"/>
      <c r="C86" s="926" t="s">
        <v>812</v>
      </c>
      <c r="D86" s="927"/>
      <c r="E86" s="927"/>
      <c r="F86" s="928"/>
      <c r="G86" s="922" t="s">
        <v>177</v>
      </c>
      <c r="H86" s="78" t="str">
        <f>'KI4-STARE'!I86</f>
        <v>x</v>
      </c>
      <c r="I86" s="924" t="s">
        <v>34</v>
      </c>
      <c r="J86" s="467"/>
      <c r="K86" s="389"/>
      <c r="L86" s="140"/>
      <c r="M86" s="267"/>
    </row>
    <row r="87" spans="1:21" s="1" customFormat="1" ht="18.75" hidden="1" customHeight="1">
      <c r="A87" s="919"/>
      <c r="B87" s="921"/>
      <c r="C87" s="460" t="s">
        <v>713</v>
      </c>
      <c r="D87" s="461" t="str">
        <f>H86</f>
        <v>x</v>
      </c>
      <c r="E87" s="463" t="str">
        <f>G86</f>
        <v>m2</v>
      </c>
      <c r="F87" s="462" t="s">
        <v>811</v>
      </c>
      <c r="G87" s="923"/>
      <c r="H87" s="78">
        <f>'KI4-STARE'!I87</f>
        <v>0</v>
      </c>
      <c r="I87" s="925"/>
      <c r="J87" s="467"/>
      <c r="K87" s="389"/>
      <c r="L87" s="140"/>
      <c r="M87" s="267"/>
    </row>
    <row r="88" spans="1:21" s="1" customFormat="1" ht="18.75" customHeight="1">
      <c r="A88" s="537">
        <v>19</v>
      </c>
      <c r="B88" s="564" t="s">
        <v>162</v>
      </c>
      <c r="C88" s="794" t="s">
        <v>575</v>
      </c>
      <c r="D88" s="795"/>
      <c r="E88" s="795"/>
      <c r="F88" s="796"/>
      <c r="G88" s="86" t="s">
        <v>176</v>
      </c>
      <c r="H88" s="78">
        <f>'KI4-STARE'!I88</f>
        <v>34.799999999999997</v>
      </c>
      <c r="I88" s="87">
        <f>H89</f>
        <v>34.799999999999997</v>
      </c>
      <c r="J88" s="467"/>
      <c r="K88" s="389"/>
      <c r="L88" s="140"/>
      <c r="M88" s="267"/>
    </row>
    <row r="89" spans="1:21" s="1" customFormat="1" ht="38.25" hidden="1" customHeight="1">
      <c r="A89" s="918"/>
      <c r="B89" s="920"/>
      <c r="C89" s="850" t="s">
        <v>810</v>
      </c>
      <c r="D89" s="851"/>
      <c r="E89" s="851"/>
      <c r="F89" s="852"/>
      <c r="G89" s="922" t="s">
        <v>177</v>
      </c>
      <c r="H89" s="924">
        <f>29*1.2</f>
        <v>34.799999999999997</v>
      </c>
      <c r="I89" s="924" t="s">
        <v>34</v>
      </c>
      <c r="J89" s="533"/>
      <c r="K89" s="534"/>
      <c r="L89" s="267"/>
      <c r="M89" s="267"/>
    </row>
    <row r="90" spans="1:21" s="1" customFormat="1" ht="18.75" hidden="1" customHeight="1">
      <c r="A90" s="919"/>
      <c r="B90" s="921"/>
      <c r="C90" s="460" t="s">
        <v>713</v>
      </c>
      <c r="D90" s="461">
        <f>H89</f>
        <v>34.799999999999997</v>
      </c>
      <c r="E90" s="463" t="str">
        <f>G89</f>
        <v>m2</v>
      </c>
      <c r="F90" s="462" t="s">
        <v>811</v>
      </c>
      <c r="G90" s="923"/>
      <c r="H90" s="925"/>
      <c r="I90" s="925"/>
      <c r="J90" s="533"/>
      <c r="K90" s="534"/>
      <c r="L90" s="140"/>
      <c r="M90" s="267"/>
    </row>
    <row r="91" spans="1:21" s="1" customFormat="1" ht="18.75" customHeight="1">
      <c r="A91" s="64" t="s">
        <v>34</v>
      </c>
      <c r="B91" s="64" t="s">
        <v>17</v>
      </c>
      <c r="C91" s="800" t="s">
        <v>18</v>
      </c>
      <c r="D91" s="801"/>
      <c r="E91" s="801"/>
      <c r="F91" s="801"/>
      <c r="G91" s="801"/>
      <c r="H91" s="801"/>
      <c r="I91" s="801"/>
      <c r="J91" s="801"/>
      <c r="K91" s="802"/>
      <c r="L91" s="140"/>
      <c r="M91" s="267"/>
    </row>
    <row r="92" spans="1:21" s="1" customFormat="1" ht="36" customHeight="1">
      <c r="A92" s="458">
        <v>20</v>
      </c>
      <c r="B92" s="564" t="s">
        <v>709</v>
      </c>
      <c r="C92" s="794" t="s">
        <v>710</v>
      </c>
      <c r="D92" s="795"/>
      <c r="E92" s="795"/>
      <c r="F92" s="796"/>
      <c r="G92" s="86" t="s">
        <v>176</v>
      </c>
      <c r="H92" s="78">
        <f>'KI4-STARE'!I92</f>
        <v>216.44</v>
      </c>
      <c r="I92" s="87" t="str">
        <f>H93</f>
        <v>x</v>
      </c>
      <c r="J92" s="467"/>
      <c r="K92" s="389"/>
      <c r="L92" s="140"/>
      <c r="M92" s="267"/>
    </row>
    <row r="93" spans="1:21" s="1" customFormat="1" ht="35.25" hidden="1" customHeight="1">
      <c r="A93" s="918"/>
      <c r="B93" s="920"/>
      <c r="C93" s="926" t="s">
        <v>825</v>
      </c>
      <c r="D93" s="927"/>
      <c r="E93" s="927"/>
      <c r="F93" s="928"/>
      <c r="G93" s="922" t="s">
        <v>177</v>
      </c>
      <c r="H93" s="78" t="str">
        <f>'KI4-STARE'!I93</f>
        <v>x</v>
      </c>
      <c r="I93" s="924" t="s">
        <v>34</v>
      </c>
      <c r="J93" s="467"/>
      <c r="K93" s="389"/>
      <c r="L93" s="140"/>
      <c r="M93" s="267"/>
    </row>
    <row r="94" spans="1:21" s="1" customFormat="1" ht="18.75" hidden="1" customHeight="1">
      <c r="A94" s="919"/>
      <c r="B94" s="921"/>
      <c r="C94" s="460" t="s">
        <v>713</v>
      </c>
      <c r="D94" s="461" t="str">
        <f>H93</f>
        <v>x</v>
      </c>
      <c r="E94" s="463" t="str">
        <f>G93</f>
        <v>m2</v>
      </c>
      <c r="F94" s="462" t="s">
        <v>715</v>
      </c>
      <c r="G94" s="923"/>
      <c r="H94" s="78">
        <f>'KI4-STARE'!I94</f>
        <v>0</v>
      </c>
      <c r="I94" s="925"/>
      <c r="J94" s="467"/>
      <c r="K94" s="389"/>
      <c r="L94" s="140"/>
      <c r="M94" s="267"/>
    </row>
    <row r="95" spans="1:21" s="1" customFormat="1" ht="30" customHeight="1">
      <c r="A95" s="458">
        <v>21</v>
      </c>
      <c r="B95" s="564" t="s">
        <v>709</v>
      </c>
      <c r="C95" s="794" t="s">
        <v>711</v>
      </c>
      <c r="D95" s="795"/>
      <c r="E95" s="795"/>
      <c r="F95" s="796"/>
      <c r="G95" s="86" t="s">
        <v>176</v>
      </c>
      <c r="H95" s="78">
        <f>'KI4-STARE'!I95</f>
        <v>454.84</v>
      </c>
      <c r="I95" s="87" t="str">
        <f>H96</f>
        <v>x</v>
      </c>
      <c r="J95" s="467"/>
      <c r="K95" s="389"/>
      <c r="L95" s="140"/>
      <c r="M95" s="267"/>
    </row>
    <row r="96" spans="1:21" s="1" customFormat="1" ht="48.75" hidden="1" customHeight="1">
      <c r="A96" s="918"/>
      <c r="B96" s="920"/>
      <c r="C96" s="926" t="s">
        <v>826</v>
      </c>
      <c r="D96" s="927"/>
      <c r="E96" s="927"/>
      <c r="F96" s="928"/>
      <c r="G96" s="922" t="s">
        <v>177</v>
      </c>
      <c r="H96" s="924" t="str">
        <f>H139</f>
        <v>x</v>
      </c>
      <c r="I96" s="924" t="s">
        <v>34</v>
      </c>
      <c r="J96" s="533"/>
      <c r="K96" s="534"/>
      <c r="L96" s="140"/>
      <c r="M96" s="267"/>
    </row>
    <row r="97" spans="1:14" s="1" customFormat="1" ht="21.75" hidden="1" customHeight="1">
      <c r="A97" s="919"/>
      <c r="B97" s="921"/>
      <c r="C97" s="460" t="s">
        <v>713</v>
      </c>
      <c r="D97" s="461" t="str">
        <f>H96</f>
        <v>x</v>
      </c>
      <c r="E97" s="463" t="str">
        <f>G96</f>
        <v>m2</v>
      </c>
      <c r="F97" s="462" t="s">
        <v>715</v>
      </c>
      <c r="G97" s="923"/>
      <c r="H97" s="925"/>
      <c r="I97" s="925"/>
      <c r="J97" s="533"/>
      <c r="K97" s="534"/>
      <c r="L97" s="140"/>
      <c r="M97" s="267"/>
    </row>
    <row r="98" spans="1:14" s="8" customFormat="1" ht="18" customHeight="1">
      <c r="A98" s="64" t="s">
        <v>34</v>
      </c>
      <c r="B98" s="571" t="s">
        <v>19</v>
      </c>
      <c r="C98" s="736" t="s">
        <v>20</v>
      </c>
      <c r="D98" s="736"/>
      <c r="E98" s="736"/>
      <c r="F98" s="736"/>
      <c r="G98" s="736"/>
      <c r="H98" s="736"/>
      <c r="I98" s="800"/>
      <c r="J98" s="471"/>
      <c r="K98" s="454"/>
      <c r="L98" s="1"/>
    </row>
    <row r="99" spans="1:14" s="8" customFormat="1" ht="30" customHeight="1">
      <c r="A99" s="86">
        <v>22</v>
      </c>
      <c r="B99" s="432" t="s">
        <v>797</v>
      </c>
      <c r="C99" s="929" t="s">
        <v>490</v>
      </c>
      <c r="D99" s="930"/>
      <c r="E99" s="930"/>
      <c r="F99" s="931"/>
      <c r="G99" s="86" t="s">
        <v>176</v>
      </c>
      <c r="H99" s="78" t="e">
        <f>'KI4-STARE'!I99</f>
        <v>#REF!</v>
      </c>
      <c r="I99" s="87">
        <f>SUM(H100:H100)</f>
        <v>0</v>
      </c>
      <c r="J99" s="467"/>
      <c r="K99" s="389"/>
      <c r="L99" s="1"/>
    </row>
    <row r="100" spans="1:14" s="8" customFormat="1" ht="45" hidden="1" customHeight="1">
      <c r="A100" s="918"/>
      <c r="B100" s="932"/>
      <c r="C100" s="926" t="s">
        <v>813</v>
      </c>
      <c r="D100" s="927"/>
      <c r="E100" s="927"/>
      <c r="F100" s="928"/>
      <c r="G100" s="922" t="s">
        <v>177</v>
      </c>
      <c r="H100" s="78" t="str">
        <f>'KI4-STARE'!I100</f>
        <v>x</v>
      </c>
      <c r="I100" s="936" t="s">
        <v>34</v>
      </c>
      <c r="J100" s="467" t="s">
        <v>34</v>
      </c>
      <c r="K100" s="389" t="s">
        <v>34</v>
      </c>
      <c r="M100" s="1"/>
    </row>
    <row r="101" spans="1:14" s="8" customFormat="1" ht="20.25" hidden="1" customHeight="1">
      <c r="A101" s="919"/>
      <c r="B101" s="933"/>
      <c r="C101" s="460" t="s">
        <v>713</v>
      </c>
      <c r="D101" s="461" t="str">
        <f>H100</f>
        <v>x</v>
      </c>
      <c r="E101" s="463" t="str">
        <f>G100</f>
        <v>m2</v>
      </c>
      <c r="F101" s="462" t="s">
        <v>716</v>
      </c>
      <c r="G101" s="923"/>
      <c r="H101" s="78">
        <f>'KI4-STARE'!I101</f>
        <v>0</v>
      </c>
      <c r="I101" s="937"/>
      <c r="J101" s="467"/>
      <c r="K101" s="389"/>
      <c r="L101" s="1"/>
      <c r="M101" s="1"/>
    </row>
    <row r="102" spans="1:14" s="8" customFormat="1" ht="28.5" customHeight="1">
      <c r="A102" s="86">
        <v>23</v>
      </c>
      <c r="B102" s="432" t="s">
        <v>489</v>
      </c>
      <c r="C102" s="929" t="s">
        <v>777</v>
      </c>
      <c r="D102" s="930"/>
      <c r="E102" s="930"/>
      <c r="F102" s="931"/>
      <c r="G102" s="86" t="s">
        <v>176</v>
      </c>
      <c r="H102" s="78">
        <f>'KI4-STARE'!I106</f>
        <v>360.66</v>
      </c>
      <c r="I102" s="87">
        <f>SUM(H103:H103)</f>
        <v>360.66</v>
      </c>
      <c r="J102" s="467"/>
      <c r="K102" s="389"/>
      <c r="L102" s="1"/>
      <c r="M102" s="1"/>
    </row>
    <row r="103" spans="1:14" s="8" customFormat="1" ht="46.5" hidden="1" customHeight="1">
      <c r="A103" s="918"/>
      <c r="B103" s="932"/>
      <c r="C103" s="926" t="s">
        <v>814</v>
      </c>
      <c r="D103" s="927"/>
      <c r="E103" s="927"/>
      <c r="F103" s="928"/>
      <c r="G103" s="922" t="s">
        <v>177</v>
      </c>
      <c r="H103" s="934">
        <f>340.66+20</f>
        <v>360.66</v>
      </c>
      <c r="I103" s="936" t="s">
        <v>34</v>
      </c>
      <c r="J103" s="536"/>
      <c r="K103" s="536"/>
      <c r="M103" s="1"/>
    </row>
    <row r="104" spans="1:14" s="8" customFormat="1" ht="20.25" hidden="1" customHeight="1">
      <c r="A104" s="919"/>
      <c r="B104" s="933"/>
      <c r="C104" s="460" t="s">
        <v>713</v>
      </c>
      <c r="D104" s="461">
        <f>H103</f>
        <v>360.66</v>
      </c>
      <c r="E104" s="463" t="str">
        <f>G103</f>
        <v>m2</v>
      </c>
      <c r="F104" s="462" t="s">
        <v>718</v>
      </c>
      <c r="G104" s="923"/>
      <c r="H104" s="935"/>
      <c r="I104" s="937"/>
      <c r="J104" s="536"/>
      <c r="K104" s="536"/>
      <c r="L104" s="1"/>
      <c r="M104" s="1"/>
    </row>
    <row r="105" spans="1:14" s="8" customFormat="1" ht="20.25" customHeight="1">
      <c r="A105" s="64" t="s">
        <v>34</v>
      </c>
      <c r="B105" s="64" t="s">
        <v>166</v>
      </c>
      <c r="C105" s="800" t="s">
        <v>720</v>
      </c>
      <c r="D105" s="801"/>
      <c r="E105" s="801"/>
      <c r="F105" s="801"/>
      <c r="G105" s="801"/>
      <c r="H105" s="801"/>
      <c r="I105" s="801"/>
      <c r="J105" s="471"/>
      <c r="K105" s="454"/>
      <c r="L105" s="1"/>
      <c r="M105" s="1"/>
    </row>
    <row r="106" spans="1:14" s="8" customFormat="1" ht="37.5" customHeight="1">
      <c r="A106" s="458">
        <v>24</v>
      </c>
      <c r="B106" s="569" t="s">
        <v>721</v>
      </c>
      <c r="C106" s="938" t="s">
        <v>799</v>
      </c>
      <c r="D106" s="939"/>
      <c r="E106" s="939"/>
      <c r="F106" s="939"/>
      <c r="G106" s="458" t="s">
        <v>176</v>
      </c>
      <c r="H106" s="78" t="e">
        <f>'KI4-STARE'!I110</f>
        <v>#REF!</v>
      </c>
      <c r="I106" s="528" t="str">
        <f>H107</f>
        <v>x</v>
      </c>
      <c r="J106" s="467"/>
      <c r="K106" s="389"/>
      <c r="L106" s="1"/>
      <c r="M106" s="1"/>
    </row>
    <row r="107" spans="1:14" s="8" customFormat="1" ht="63.75" hidden="1" customHeight="1">
      <c r="A107" s="940"/>
      <c r="B107" s="942"/>
      <c r="C107" s="944" t="s">
        <v>815</v>
      </c>
      <c r="D107" s="945"/>
      <c r="E107" s="945"/>
      <c r="F107" s="946"/>
      <c r="G107" s="922" t="s">
        <v>177</v>
      </c>
      <c r="H107" s="78" t="str">
        <f>'KI4-STARE'!I111</f>
        <v>x</v>
      </c>
      <c r="I107" s="936" t="s">
        <v>34</v>
      </c>
      <c r="J107" s="467"/>
      <c r="K107" s="389"/>
      <c r="L107" s="1"/>
      <c r="M107" s="1"/>
    </row>
    <row r="108" spans="1:14" s="8" customFormat="1" ht="20.25" hidden="1" customHeight="1">
      <c r="A108" s="941"/>
      <c r="B108" s="943"/>
      <c r="C108" s="8" t="s">
        <v>713</v>
      </c>
      <c r="D108" s="100" t="str">
        <f>H107</f>
        <v>x</v>
      </c>
      <c r="E108" s="523" t="s">
        <v>177</v>
      </c>
      <c r="F108" s="462" t="s">
        <v>716</v>
      </c>
      <c r="G108" s="923"/>
      <c r="H108" s="78">
        <f>'KI4-STARE'!I112</f>
        <v>0</v>
      </c>
      <c r="I108" s="937"/>
      <c r="J108" s="467"/>
      <c r="K108" s="389"/>
      <c r="L108" s="1"/>
      <c r="M108" s="1"/>
    </row>
    <row r="109" spans="1:14" s="8" customFormat="1" ht="30.75" customHeight="1">
      <c r="A109" s="458">
        <v>25</v>
      </c>
      <c r="B109" s="569" t="s">
        <v>721</v>
      </c>
      <c r="C109" s="938" t="s">
        <v>821</v>
      </c>
      <c r="D109" s="939"/>
      <c r="E109" s="939"/>
      <c r="F109" s="939"/>
      <c r="G109" s="458" t="s">
        <v>176</v>
      </c>
      <c r="H109" s="78">
        <f>'KI4-STARE'!I113</f>
        <v>599.12</v>
      </c>
      <c r="I109" s="528">
        <f>H110</f>
        <v>599.12</v>
      </c>
      <c r="J109" s="467"/>
      <c r="K109" s="389"/>
      <c r="L109" s="1"/>
      <c r="M109" s="1"/>
    </row>
    <row r="110" spans="1:14" s="8" customFormat="1" ht="48.75" hidden="1" customHeight="1">
      <c r="A110" s="940"/>
      <c r="B110" s="942"/>
      <c r="C110" s="944" t="s">
        <v>801</v>
      </c>
      <c r="D110" s="945"/>
      <c r="E110" s="945"/>
      <c r="F110" s="946"/>
      <c r="G110" s="922" t="s">
        <v>177</v>
      </c>
      <c r="H110" s="924">
        <f>340.66*1.7+20</f>
        <v>599.12</v>
      </c>
      <c r="I110" s="936" t="s">
        <v>34</v>
      </c>
      <c r="J110" s="924" t="s">
        <v>34</v>
      </c>
      <c r="K110" s="924" t="s">
        <v>34</v>
      </c>
      <c r="L110" s="1"/>
      <c r="M110" s="1"/>
    </row>
    <row r="111" spans="1:14" s="8" customFormat="1" ht="16.5" hidden="1" customHeight="1">
      <c r="A111" s="941"/>
      <c r="B111" s="943"/>
      <c r="C111" s="8" t="s">
        <v>713</v>
      </c>
      <c r="D111" s="100">
        <f>H110</f>
        <v>599.12</v>
      </c>
      <c r="E111" s="523" t="s">
        <v>177</v>
      </c>
      <c r="F111" s="462" t="s">
        <v>716</v>
      </c>
      <c r="G111" s="923"/>
      <c r="H111" s="925"/>
      <c r="I111" s="937"/>
      <c r="J111" s="925"/>
      <c r="K111" s="925"/>
      <c r="L111" s="1"/>
      <c r="M111" s="1"/>
      <c r="N111" s="11"/>
    </row>
    <row r="112" spans="1:14" s="8" customFormat="1" ht="20.25" hidden="1" customHeight="1">
      <c r="A112" s="837" t="s">
        <v>663</v>
      </c>
      <c r="B112" s="838"/>
      <c r="C112" s="838"/>
      <c r="D112" s="838"/>
      <c r="E112" s="838"/>
      <c r="F112" s="838"/>
      <c r="G112" s="838"/>
      <c r="H112" s="838"/>
      <c r="I112" s="838"/>
      <c r="J112" s="839"/>
      <c r="K112" s="479" t="e">
        <f>K109+K99+#REF!+#REF!+#REF!+K85</f>
        <v>#REF!</v>
      </c>
      <c r="L112" s="399" t="e">
        <f>K112</f>
        <v>#REF!</v>
      </c>
      <c r="M112" s="1"/>
    </row>
    <row r="113" spans="1:105" s="8" customFormat="1" ht="20.25" customHeight="1">
      <c r="A113" s="64" t="s">
        <v>34</v>
      </c>
      <c r="B113" s="64" t="s">
        <v>739</v>
      </c>
      <c r="C113" s="800" t="s">
        <v>740</v>
      </c>
      <c r="D113" s="801"/>
      <c r="E113" s="801"/>
      <c r="F113" s="801"/>
      <c r="G113" s="801"/>
      <c r="H113" s="801"/>
      <c r="I113" s="801"/>
      <c r="J113" s="801"/>
      <c r="K113" s="802"/>
      <c r="L113" s="101"/>
      <c r="M113" s="1"/>
    </row>
    <row r="114" spans="1:105" s="8" customFormat="1" ht="21" customHeight="1">
      <c r="A114" s="458">
        <v>26</v>
      </c>
      <c r="B114" s="569" t="s">
        <v>739</v>
      </c>
      <c r="C114" s="938" t="s">
        <v>913</v>
      </c>
      <c r="D114" s="939"/>
      <c r="E114" s="939"/>
      <c r="F114" s="939"/>
      <c r="G114" s="458" t="s">
        <v>176</v>
      </c>
      <c r="H114" s="78" t="e">
        <f>'KI4-STARE'!I118</f>
        <v>#REF!</v>
      </c>
      <c r="I114" s="528" t="str">
        <f>H115</f>
        <v>x</v>
      </c>
      <c r="J114" s="467"/>
      <c r="K114" s="389"/>
      <c r="L114" s="399"/>
      <c r="M114" s="1"/>
    </row>
    <row r="115" spans="1:105" s="8" customFormat="1" ht="36.75" hidden="1" customHeight="1">
      <c r="A115" s="940"/>
      <c r="B115" s="942"/>
      <c r="C115" s="944" t="s">
        <v>800</v>
      </c>
      <c r="D115" s="945"/>
      <c r="E115" s="945"/>
      <c r="F115" s="946"/>
      <c r="G115" s="922" t="s">
        <v>177</v>
      </c>
      <c r="H115" s="924" t="str">
        <f>H107</f>
        <v>x</v>
      </c>
      <c r="I115" s="936" t="s">
        <v>34</v>
      </c>
      <c r="J115" s="576"/>
      <c r="K115" s="489"/>
      <c r="L115" s="399"/>
      <c r="M115" s="1"/>
    </row>
    <row r="116" spans="1:105" s="8" customFormat="1" ht="18.75" hidden="1" customHeight="1">
      <c r="A116" s="941"/>
      <c r="B116" s="943"/>
      <c r="C116" s="8" t="s">
        <v>713</v>
      </c>
      <c r="D116" s="100" t="str">
        <f>H115</f>
        <v>x</v>
      </c>
      <c r="E116" s="523" t="s">
        <v>177</v>
      </c>
      <c r="F116" s="462" t="s">
        <v>716</v>
      </c>
      <c r="G116" s="923"/>
      <c r="H116" s="925"/>
      <c r="I116" s="937"/>
      <c r="J116" s="475"/>
      <c r="K116" s="456"/>
    </row>
    <row r="117" spans="1:105" ht="15.75">
      <c r="A117" s="837" t="s">
        <v>663</v>
      </c>
      <c r="B117" s="838"/>
      <c r="C117" s="838"/>
      <c r="D117" s="838"/>
      <c r="E117" s="838"/>
      <c r="F117" s="838"/>
      <c r="G117" s="838"/>
      <c r="H117" s="838"/>
      <c r="I117" s="838"/>
      <c r="J117" s="839"/>
      <c r="K117" s="445"/>
      <c r="L117" s="3"/>
    </row>
    <row r="118" spans="1:105" s="8" customFormat="1" ht="33" customHeight="1">
      <c r="A118" s="524" t="s">
        <v>61</v>
      </c>
      <c r="B118" s="524" t="s">
        <v>59</v>
      </c>
      <c r="C118" s="947" t="s">
        <v>182</v>
      </c>
      <c r="D118" s="948"/>
      <c r="E118" s="948"/>
      <c r="F118" s="948"/>
      <c r="G118" s="948"/>
      <c r="H118" s="948"/>
      <c r="I118" s="948"/>
      <c r="J118" s="475"/>
      <c r="K118" s="456"/>
    </row>
    <row r="119" spans="1:105" s="16" customFormat="1" ht="25.5" customHeight="1">
      <c r="A119" s="64" t="s">
        <v>34</v>
      </c>
      <c r="B119" s="64" t="s">
        <v>116</v>
      </c>
      <c r="C119" s="736" t="s">
        <v>776</v>
      </c>
      <c r="D119" s="736"/>
      <c r="E119" s="736"/>
      <c r="F119" s="736"/>
      <c r="G119" s="736" t="s">
        <v>8</v>
      </c>
      <c r="H119" s="736"/>
      <c r="I119" s="800"/>
      <c r="J119" s="476"/>
      <c r="K119" s="454"/>
      <c r="L119" s="8"/>
      <c r="M119" s="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</row>
    <row r="120" spans="1:105" s="204" customFormat="1" ht="29.25" customHeight="1">
      <c r="A120" s="86">
        <v>27</v>
      </c>
      <c r="B120" s="432" t="s">
        <v>116</v>
      </c>
      <c r="C120" s="794" t="s">
        <v>820</v>
      </c>
      <c r="D120" s="795"/>
      <c r="E120" s="795"/>
      <c r="F120" s="796"/>
      <c r="G120" s="86" t="s">
        <v>176</v>
      </c>
      <c r="H120" s="78" t="e">
        <f>'KI4-STARE'!I124</f>
        <v>#REF!</v>
      </c>
      <c r="I120" s="77" t="e">
        <f>SUM(H121:H121)</f>
        <v>#REF!</v>
      </c>
      <c r="J120" s="467"/>
      <c r="K120" s="389"/>
      <c r="M120" s="58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</row>
    <row r="121" spans="1:105" s="204" customFormat="1" ht="29.25" hidden="1" customHeight="1">
      <c r="A121" s="922"/>
      <c r="B121" s="932"/>
      <c r="C121" s="926" t="s">
        <v>778</v>
      </c>
      <c r="D121" s="927"/>
      <c r="E121" s="927"/>
      <c r="F121" s="928"/>
      <c r="G121" s="922" t="s">
        <v>177</v>
      </c>
      <c r="H121" s="924" t="e">
        <f>#REF!</f>
        <v>#REF!</v>
      </c>
      <c r="I121" s="924" t="s">
        <v>34</v>
      </c>
      <c r="J121" s="924" t="s">
        <v>34</v>
      </c>
      <c r="K121" s="924" t="s">
        <v>34</v>
      </c>
      <c r="L121" s="8"/>
      <c r="M121" s="320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</row>
    <row r="122" spans="1:105" s="204" customFormat="1" ht="20.25" hidden="1" customHeight="1">
      <c r="A122" s="923"/>
      <c r="B122" s="933"/>
      <c r="C122" s="460" t="s">
        <v>713</v>
      </c>
      <c r="D122" s="461" t="e">
        <f>H121</f>
        <v>#REF!</v>
      </c>
      <c r="E122" s="463" t="str">
        <f>G121</f>
        <v>m2</v>
      </c>
      <c r="F122" s="462" t="s">
        <v>716</v>
      </c>
      <c r="G122" s="923"/>
      <c r="H122" s="925"/>
      <c r="I122" s="925"/>
      <c r="J122" s="925"/>
      <c r="K122" s="925"/>
      <c r="L122" s="8"/>
      <c r="M122" s="320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</row>
    <row r="123" spans="1:105" s="204" customFormat="1" ht="20.25" customHeight="1">
      <c r="A123" s="64" t="s">
        <v>34</v>
      </c>
      <c r="B123" s="64" t="s">
        <v>845</v>
      </c>
      <c r="C123" s="800" t="s">
        <v>847</v>
      </c>
      <c r="D123" s="801"/>
      <c r="E123" s="801"/>
      <c r="F123" s="801"/>
      <c r="G123" s="801"/>
      <c r="H123" s="801"/>
      <c r="I123" s="801"/>
      <c r="J123" s="801"/>
      <c r="K123" s="802"/>
      <c r="L123" s="8"/>
      <c r="M123" s="320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</row>
    <row r="124" spans="1:105" s="204" customFormat="1" ht="36" customHeight="1">
      <c r="A124" s="458">
        <v>28</v>
      </c>
      <c r="B124" s="564" t="s">
        <v>846</v>
      </c>
      <c r="C124" s="794" t="s">
        <v>850</v>
      </c>
      <c r="D124" s="795"/>
      <c r="E124" s="795"/>
      <c r="F124" s="796"/>
      <c r="G124" s="86" t="s">
        <v>176</v>
      </c>
      <c r="H124" s="78">
        <f>'KI4-STARE'!I128</f>
        <v>28</v>
      </c>
      <c r="I124" s="77">
        <f>SUM(H125:H125)</f>
        <v>28</v>
      </c>
      <c r="J124" s="467"/>
      <c r="K124" s="389"/>
      <c r="L124" s="8"/>
      <c r="M124" s="320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</row>
    <row r="125" spans="1:105" s="204" customFormat="1" ht="63" hidden="1" customHeight="1">
      <c r="A125" s="922"/>
      <c r="B125" s="932"/>
      <c r="C125" s="926" t="s">
        <v>842</v>
      </c>
      <c r="D125" s="927"/>
      <c r="E125" s="927"/>
      <c r="F125" s="928"/>
      <c r="G125" s="922" t="s">
        <v>177</v>
      </c>
      <c r="H125" s="924">
        <v>28</v>
      </c>
      <c r="I125" s="924" t="s">
        <v>34</v>
      </c>
      <c r="J125" s="536"/>
      <c r="K125" s="536"/>
      <c r="L125" s="8"/>
      <c r="M125" s="320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</row>
    <row r="126" spans="1:105" s="204" customFormat="1" ht="30" hidden="1" customHeight="1">
      <c r="A126" s="923"/>
      <c r="B126" s="933"/>
      <c r="C126" s="460" t="s">
        <v>713</v>
      </c>
      <c r="D126" s="461">
        <f>H125</f>
        <v>28</v>
      </c>
      <c r="E126" s="463" t="str">
        <f>G125</f>
        <v>m2</v>
      </c>
      <c r="F126" s="462" t="s">
        <v>811</v>
      </c>
      <c r="G126" s="923"/>
      <c r="H126" s="925"/>
      <c r="I126" s="925"/>
      <c r="J126" s="536"/>
      <c r="K126" s="536"/>
      <c r="L126" s="8"/>
      <c r="M126" s="320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</row>
    <row r="127" spans="1:105" s="204" customFormat="1" ht="34.5" customHeight="1">
      <c r="A127" s="64" t="s">
        <v>34</v>
      </c>
      <c r="B127" s="64" t="s">
        <v>848</v>
      </c>
      <c r="C127" s="800" t="s">
        <v>849</v>
      </c>
      <c r="D127" s="801"/>
      <c r="E127" s="801"/>
      <c r="F127" s="801"/>
      <c r="G127" s="801"/>
      <c r="H127" s="801"/>
      <c r="I127" s="801"/>
      <c r="J127" s="801"/>
      <c r="K127" s="802"/>
      <c r="L127" s="8"/>
      <c r="M127" s="320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</row>
    <row r="128" spans="1:105" s="204" customFormat="1" ht="20.25" customHeight="1">
      <c r="A128" s="458">
        <v>29</v>
      </c>
      <c r="B128" s="564" t="s">
        <v>846</v>
      </c>
      <c r="C128" s="794" t="s">
        <v>844</v>
      </c>
      <c r="D128" s="795"/>
      <c r="E128" s="795"/>
      <c r="F128" s="796"/>
      <c r="G128" s="86" t="s">
        <v>176</v>
      </c>
      <c r="H128" s="78">
        <f>'KI4-STARE'!I132</f>
        <v>28</v>
      </c>
      <c r="I128" s="77">
        <f>SUM(H129:H129)</f>
        <v>0</v>
      </c>
      <c r="J128" s="467"/>
      <c r="K128" s="389"/>
      <c r="L128" s="8"/>
      <c r="M128" s="320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</row>
    <row r="129" spans="1:105" s="204" customFormat="1" ht="47.25" hidden="1" customHeight="1">
      <c r="A129" s="922"/>
      <c r="B129" s="932"/>
      <c r="C129" s="926" t="s">
        <v>843</v>
      </c>
      <c r="D129" s="927"/>
      <c r="E129" s="927"/>
      <c r="F129" s="928"/>
      <c r="G129" s="922" t="s">
        <v>177</v>
      </c>
      <c r="H129" s="78" t="str">
        <f>'KI4-STARE'!I133</f>
        <v>x</v>
      </c>
      <c r="I129" s="924" t="s">
        <v>34</v>
      </c>
      <c r="J129" s="467"/>
      <c r="K129" s="389"/>
      <c r="L129" s="8"/>
      <c r="M129" s="320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</row>
    <row r="130" spans="1:105" s="204" customFormat="1" ht="20.25" hidden="1" customHeight="1">
      <c r="A130" s="923"/>
      <c r="B130" s="933"/>
      <c r="C130" s="460" t="s">
        <v>713</v>
      </c>
      <c r="D130" s="461" t="str">
        <f>H129</f>
        <v>x</v>
      </c>
      <c r="E130" s="463" t="str">
        <f>G129</f>
        <v>m2</v>
      </c>
      <c r="F130" s="462" t="s">
        <v>811</v>
      </c>
      <c r="G130" s="923"/>
      <c r="H130" s="78">
        <f>'KI4-STARE'!I134</f>
        <v>0</v>
      </c>
      <c r="I130" s="925"/>
      <c r="J130" s="467"/>
      <c r="K130" s="389"/>
      <c r="L130" s="8"/>
      <c r="M130" s="320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</row>
    <row r="131" spans="1:105" s="204" customFormat="1" ht="20.25" customHeight="1">
      <c r="A131" s="458">
        <v>30</v>
      </c>
      <c r="B131" s="564" t="s">
        <v>851</v>
      </c>
      <c r="C131" s="794" t="s">
        <v>852</v>
      </c>
      <c r="D131" s="795"/>
      <c r="E131" s="795"/>
      <c r="F131" s="796"/>
      <c r="G131" s="86" t="s">
        <v>176</v>
      </c>
      <c r="H131" s="78">
        <f>'KI4-STARE'!I135</f>
        <v>13.5</v>
      </c>
      <c r="I131" s="77">
        <f>SUM(H132:H132)</f>
        <v>13.5</v>
      </c>
      <c r="J131" s="467"/>
      <c r="K131" s="389"/>
      <c r="L131" s="8"/>
      <c r="M131" s="320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</row>
    <row r="132" spans="1:105" s="204" customFormat="1" ht="45.75" hidden="1" customHeight="1">
      <c r="A132" s="922"/>
      <c r="B132" s="932"/>
      <c r="C132" s="926" t="s">
        <v>853</v>
      </c>
      <c r="D132" s="927"/>
      <c r="E132" s="927"/>
      <c r="F132" s="928"/>
      <c r="G132" s="922" t="s">
        <v>177</v>
      </c>
      <c r="H132" s="924">
        <v>13.5</v>
      </c>
      <c r="I132" s="924" t="s">
        <v>34</v>
      </c>
      <c r="J132" s="536"/>
      <c r="K132" s="536"/>
      <c r="L132" s="8"/>
      <c r="M132" s="320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</row>
    <row r="133" spans="1:105" s="204" customFormat="1" ht="20.25" hidden="1" customHeight="1">
      <c r="A133" s="923"/>
      <c r="B133" s="933"/>
      <c r="C133" s="460" t="s">
        <v>713</v>
      </c>
      <c r="D133" s="461">
        <f>H132</f>
        <v>13.5</v>
      </c>
      <c r="E133" s="463" t="str">
        <f>G132</f>
        <v>m2</v>
      </c>
      <c r="F133" s="462" t="s">
        <v>811</v>
      </c>
      <c r="G133" s="923"/>
      <c r="H133" s="925"/>
      <c r="I133" s="925"/>
      <c r="J133" s="536"/>
      <c r="K133" s="536"/>
      <c r="L133" s="8"/>
      <c r="M133" s="320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</row>
    <row r="134" spans="1:105" s="204" customFormat="1" ht="28.5" customHeight="1">
      <c r="A134" s="64" t="s">
        <v>34</v>
      </c>
      <c r="B134" s="64" t="s">
        <v>21</v>
      </c>
      <c r="C134" s="800" t="s">
        <v>22</v>
      </c>
      <c r="D134" s="801"/>
      <c r="E134" s="801"/>
      <c r="F134" s="801"/>
      <c r="G134" s="801"/>
      <c r="H134" s="801"/>
      <c r="I134" s="801"/>
      <c r="J134" s="801"/>
      <c r="K134" s="802"/>
      <c r="L134" s="8"/>
      <c r="M134" s="320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</row>
    <row r="135" spans="1:105" s="204" customFormat="1" ht="30.75" customHeight="1">
      <c r="A135" s="86">
        <v>31</v>
      </c>
      <c r="B135" s="564" t="s">
        <v>816</v>
      </c>
      <c r="C135" s="794" t="s">
        <v>819</v>
      </c>
      <c r="D135" s="795"/>
      <c r="E135" s="795"/>
      <c r="F135" s="796"/>
      <c r="G135" s="86" t="s">
        <v>176</v>
      </c>
      <c r="H135" s="78">
        <f>'KI4-STARE'!I139</f>
        <v>216.44</v>
      </c>
      <c r="I135" s="77">
        <f>SUM(H136:H136)</f>
        <v>0</v>
      </c>
      <c r="J135" s="467"/>
      <c r="K135" s="389"/>
      <c r="L135" s="8"/>
      <c r="M135" s="320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</row>
    <row r="136" spans="1:105" s="204" customFormat="1" ht="36.75" hidden="1" customHeight="1">
      <c r="A136" s="922"/>
      <c r="B136" s="932"/>
      <c r="C136" s="926" t="s">
        <v>818</v>
      </c>
      <c r="D136" s="927"/>
      <c r="E136" s="927"/>
      <c r="F136" s="928"/>
      <c r="G136" s="922" t="s">
        <v>177</v>
      </c>
      <c r="H136" s="78" t="str">
        <f>'KI4-STARE'!I140</f>
        <v>x</v>
      </c>
      <c r="I136" s="924" t="s">
        <v>34</v>
      </c>
      <c r="J136" s="467"/>
      <c r="K136" s="389"/>
      <c r="L136" s="8"/>
      <c r="M136" s="320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</row>
    <row r="137" spans="1:105" s="204" customFormat="1" ht="20.25" hidden="1" customHeight="1">
      <c r="A137" s="923"/>
      <c r="B137" s="933"/>
      <c r="C137" s="460" t="s">
        <v>713</v>
      </c>
      <c r="D137" s="461" t="str">
        <f>H136</f>
        <v>x</v>
      </c>
      <c r="E137" s="463" t="str">
        <f>G136</f>
        <v>m2</v>
      </c>
      <c r="F137" s="462" t="s">
        <v>716</v>
      </c>
      <c r="G137" s="923"/>
      <c r="H137" s="78">
        <f>'KI4-STARE'!I141</f>
        <v>0</v>
      </c>
      <c r="I137" s="925"/>
      <c r="J137" s="467"/>
      <c r="K137" s="389"/>
      <c r="L137" s="8"/>
      <c r="M137" s="320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</row>
    <row r="138" spans="1:105" s="204" customFormat="1" ht="30.75" customHeight="1">
      <c r="A138" s="86">
        <v>32</v>
      </c>
      <c r="B138" s="564" t="s">
        <v>220</v>
      </c>
      <c r="C138" s="794" t="s">
        <v>822</v>
      </c>
      <c r="D138" s="795"/>
      <c r="E138" s="795"/>
      <c r="F138" s="796"/>
      <c r="G138" s="86" t="s">
        <v>176</v>
      </c>
      <c r="H138" s="78">
        <f>'KI4-STARE'!I142</f>
        <v>454.84</v>
      </c>
      <c r="I138" s="77">
        <f>SUM(H139:H139)</f>
        <v>0</v>
      </c>
      <c r="J138" s="467"/>
      <c r="K138" s="389"/>
      <c r="L138" s="8"/>
      <c r="M138" s="320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</row>
    <row r="139" spans="1:105" s="204" customFormat="1" ht="31.5" hidden="1" customHeight="1">
      <c r="A139" s="922"/>
      <c r="B139" s="932"/>
      <c r="C139" s="926" t="s">
        <v>817</v>
      </c>
      <c r="D139" s="927"/>
      <c r="E139" s="927"/>
      <c r="F139" s="928"/>
      <c r="G139" s="922" t="s">
        <v>177</v>
      </c>
      <c r="H139" s="78" t="str">
        <f>'KI4-STARE'!I143</f>
        <v>x</v>
      </c>
      <c r="I139" s="924" t="s">
        <v>34</v>
      </c>
      <c r="J139" s="467"/>
      <c r="K139" s="389"/>
      <c r="L139" s="8"/>
      <c r="M139" s="320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</row>
    <row r="140" spans="1:105" s="204" customFormat="1" ht="20.25" hidden="1" customHeight="1">
      <c r="A140" s="923"/>
      <c r="B140" s="933"/>
      <c r="C140" s="460" t="s">
        <v>713</v>
      </c>
      <c r="D140" s="461" t="str">
        <f>H139</f>
        <v>x</v>
      </c>
      <c r="E140" s="463" t="str">
        <f>G139</f>
        <v>m2</v>
      </c>
      <c r="F140" s="462" t="s">
        <v>716</v>
      </c>
      <c r="G140" s="923"/>
      <c r="H140" s="78">
        <f>'KI4-STARE'!I144</f>
        <v>0</v>
      </c>
      <c r="I140" s="925"/>
      <c r="J140" s="467"/>
      <c r="K140" s="389"/>
      <c r="L140" s="8"/>
      <c r="M140" s="320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</row>
    <row r="141" spans="1:105" s="204" customFormat="1" ht="29.25" customHeight="1">
      <c r="A141" s="86">
        <v>33</v>
      </c>
      <c r="B141" s="431" t="s">
        <v>220</v>
      </c>
      <c r="C141" s="794" t="s">
        <v>216</v>
      </c>
      <c r="D141" s="795"/>
      <c r="E141" s="795"/>
      <c r="F141" s="796"/>
      <c r="G141" s="86" t="s">
        <v>176</v>
      </c>
      <c r="H141" s="78" t="e">
        <f>'KI4-STARE'!I145</f>
        <v>#REF!</v>
      </c>
      <c r="I141" s="77" t="e">
        <f>SUM(H142:H142)</f>
        <v>#REF!</v>
      </c>
      <c r="J141" s="467"/>
      <c r="K141" s="389"/>
      <c r="L141" s="8"/>
      <c r="M141" s="58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</row>
    <row r="142" spans="1:105" s="204" customFormat="1" ht="35.25" hidden="1" customHeight="1">
      <c r="A142" s="922"/>
      <c r="B142" s="932"/>
      <c r="C142" s="926" t="s">
        <v>823</v>
      </c>
      <c r="D142" s="927"/>
      <c r="E142" s="927"/>
      <c r="F142" s="928"/>
      <c r="G142" s="922" t="s">
        <v>177</v>
      </c>
      <c r="H142" s="924" t="e">
        <f>#REF!</f>
        <v>#REF!</v>
      </c>
      <c r="I142" s="924" t="s">
        <v>34</v>
      </c>
      <c r="J142" s="924" t="s">
        <v>34</v>
      </c>
      <c r="K142" s="924" t="s">
        <v>34</v>
      </c>
      <c r="L142" s="8"/>
      <c r="M142" s="1"/>
      <c r="N142" s="58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</row>
    <row r="143" spans="1:105" s="204" customFormat="1" ht="20.25" hidden="1" customHeight="1">
      <c r="A143" s="923"/>
      <c r="B143" s="933"/>
      <c r="C143" s="460" t="s">
        <v>713</v>
      </c>
      <c r="D143" s="461" t="e">
        <f>H142</f>
        <v>#REF!</v>
      </c>
      <c r="E143" s="463" t="str">
        <f>G142</f>
        <v>m2</v>
      </c>
      <c r="F143" s="462" t="s">
        <v>811</v>
      </c>
      <c r="G143" s="923"/>
      <c r="H143" s="925"/>
      <c r="I143" s="925"/>
      <c r="J143" s="925"/>
      <c r="K143" s="925"/>
      <c r="L143" s="8"/>
      <c r="M143" s="1"/>
      <c r="N143" s="58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</row>
    <row r="144" spans="1:105" s="204" customFormat="1" ht="20.25" customHeight="1">
      <c r="A144" s="64" t="s">
        <v>34</v>
      </c>
      <c r="B144" s="571" t="s">
        <v>331</v>
      </c>
      <c r="C144" s="736" t="s">
        <v>332</v>
      </c>
      <c r="D144" s="736"/>
      <c r="E144" s="736"/>
      <c r="F144" s="736"/>
      <c r="G144" s="736" t="s">
        <v>8</v>
      </c>
      <c r="H144" s="736"/>
      <c r="I144" s="800"/>
      <c r="J144" s="476"/>
      <c r="K144" s="454"/>
      <c r="L144" s="8"/>
      <c r="M144" s="1"/>
      <c r="N144" s="58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</row>
    <row r="145" spans="1:105" s="204" customFormat="1" ht="20.25" customHeight="1">
      <c r="A145" s="458">
        <v>34</v>
      </c>
      <c r="B145" s="564" t="s">
        <v>827</v>
      </c>
      <c r="C145" s="794" t="s">
        <v>719</v>
      </c>
      <c r="D145" s="795"/>
      <c r="E145" s="795"/>
      <c r="F145" s="796"/>
      <c r="G145" s="86" t="s">
        <v>176</v>
      </c>
      <c r="H145" s="78">
        <f>'KI4-STARE'!I152</f>
        <v>237</v>
      </c>
      <c r="I145" s="77">
        <f>SUM(H146:H146)</f>
        <v>237</v>
      </c>
      <c r="J145" s="467"/>
      <c r="K145" s="389"/>
      <c r="L145" s="8"/>
      <c r="M145" s="1"/>
      <c r="N145" s="58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</row>
    <row r="146" spans="1:105" s="466" customFormat="1" ht="60" hidden="1" customHeight="1">
      <c r="A146" s="922"/>
      <c r="B146" s="932"/>
      <c r="C146" s="926" t="s">
        <v>824</v>
      </c>
      <c r="D146" s="927"/>
      <c r="E146" s="927"/>
      <c r="F146" s="928"/>
      <c r="G146" s="922" t="s">
        <v>177</v>
      </c>
      <c r="H146" s="924">
        <f>0.3*740+15</f>
        <v>237</v>
      </c>
      <c r="I146" s="924" t="s">
        <v>34</v>
      </c>
      <c r="J146" s="949"/>
      <c r="K146" s="859"/>
      <c r="L146" s="440"/>
      <c r="M146" s="399"/>
      <c r="N146" s="464"/>
      <c r="O146" s="465"/>
      <c r="P146" s="465"/>
      <c r="Q146" s="465"/>
      <c r="R146" s="465"/>
      <c r="S146" s="465"/>
      <c r="T146" s="465"/>
      <c r="U146" s="465"/>
      <c r="V146" s="465"/>
      <c r="W146" s="465"/>
      <c r="X146" s="465"/>
      <c r="Y146" s="465"/>
      <c r="Z146" s="465"/>
      <c r="AA146" s="465"/>
      <c r="AB146" s="465"/>
      <c r="AC146" s="465"/>
      <c r="AD146" s="465"/>
      <c r="AE146" s="465"/>
      <c r="AF146" s="465"/>
      <c r="AG146" s="465"/>
      <c r="AH146" s="465"/>
      <c r="AI146" s="465"/>
      <c r="AJ146" s="465"/>
      <c r="AK146" s="465"/>
      <c r="AL146" s="465"/>
      <c r="AM146" s="465"/>
      <c r="AN146" s="465"/>
      <c r="AO146" s="465"/>
      <c r="AP146" s="465"/>
      <c r="AQ146" s="465"/>
      <c r="AR146" s="465"/>
      <c r="AS146" s="465"/>
      <c r="AT146" s="465"/>
      <c r="AU146" s="465"/>
      <c r="AV146" s="465"/>
      <c r="AW146" s="465"/>
      <c r="AX146" s="465"/>
      <c r="AY146" s="465"/>
      <c r="AZ146" s="465"/>
      <c r="BA146" s="465"/>
      <c r="BB146" s="465"/>
      <c r="BC146" s="465"/>
      <c r="BD146" s="465"/>
      <c r="BE146" s="465"/>
      <c r="BF146" s="465"/>
      <c r="BG146" s="465"/>
      <c r="BH146" s="465"/>
      <c r="BI146" s="465"/>
      <c r="BJ146" s="465"/>
      <c r="BK146" s="465"/>
      <c r="BL146" s="465"/>
      <c r="BM146" s="465"/>
      <c r="BN146" s="465"/>
      <c r="BO146" s="465"/>
      <c r="BP146" s="465"/>
      <c r="BQ146" s="465"/>
      <c r="BR146" s="465"/>
      <c r="BS146" s="465"/>
      <c r="BT146" s="465"/>
      <c r="BU146" s="465"/>
      <c r="BV146" s="465"/>
      <c r="BW146" s="465"/>
      <c r="BX146" s="465"/>
      <c r="BY146" s="465"/>
      <c r="BZ146" s="465"/>
      <c r="CA146" s="465"/>
      <c r="CB146" s="465"/>
      <c r="CC146" s="465"/>
      <c r="CD146" s="465"/>
      <c r="CE146" s="465"/>
      <c r="CF146" s="465"/>
      <c r="CG146" s="465"/>
      <c r="CH146" s="465"/>
      <c r="CI146" s="465"/>
      <c r="CJ146" s="465"/>
      <c r="CK146" s="465"/>
      <c r="CL146" s="465"/>
      <c r="CM146" s="465"/>
      <c r="CN146" s="465"/>
      <c r="CO146" s="465"/>
      <c r="CP146" s="465"/>
      <c r="CQ146" s="465"/>
      <c r="CR146" s="465"/>
      <c r="CS146" s="465"/>
      <c r="CT146" s="465"/>
      <c r="CU146" s="465"/>
      <c r="CV146" s="465"/>
      <c r="CW146" s="465"/>
      <c r="CX146" s="465"/>
      <c r="CY146" s="465"/>
      <c r="CZ146" s="465"/>
      <c r="DA146" s="465"/>
    </row>
    <row r="147" spans="1:105" s="204" customFormat="1" ht="20.25" hidden="1" customHeight="1">
      <c r="A147" s="923"/>
      <c r="B147" s="933"/>
      <c r="C147" s="460" t="s">
        <v>713</v>
      </c>
      <c r="D147" s="461">
        <f>H146</f>
        <v>237</v>
      </c>
      <c r="E147" s="463" t="str">
        <f>G146</f>
        <v>m2</v>
      </c>
      <c r="F147" s="462" t="s">
        <v>716</v>
      </c>
      <c r="G147" s="923"/>
      <c r="H147" s="925"/>
      <c r="I147" s="925"/>
      <c r="J147" s="950"/>
      <c r="K147" s="860"/>
      <c r="L147" s="8"/>
      <c r="M147" s="1"/>
      <c r="N147" s="58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</row>
    <row r="148" spans="1:105" s="204" customFormat="1" ht="20.25" customHeight="1">
      <c r="A148" s="64" t="s">
        <v>34</v>
      </c>
      <c r="B148" s="64" t="s">
        <v>335</v>
      </c>
      <c r="C148" s="800" t="s">
        <v>828</v>
      </c>
      <c r="D148" s="801"/>
      <c r="E148" s="801"/>
      <c r="F148" s="801"/>
      <c r="G148" s="801"/>
      <c r="H148" s="801"/>
      <c r="I148" s="801"/>
      <c r="J148" s="801"/>
      <c r="K148" s="802"/>
      <c r="L148" s="8"/>
      <c r="M148" s="1"/>
      <c r="N148" s="58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</row>
    <row r="149" spans="1:105" s="204" customFormat="1" ht="29.25" customHeight="1">
      <c r="A149" s="458">
        <v>35</v>
      </c>
      <c r="B149" s="564" t="s">
        <v>337</v>
      </c>
      <c r="C149" s="803" t="s">
        <v>829</v>
      </c>
      <c r="D149" s="804"/>
      <c r="E149" s="804"/>
      <c r="F149" s="805"/>
      <c r="G149" s="86" t="s">
        <v>176</v>
      </c>
      <c r="H149" s="78">
        <f>'KI4-STARE'!I156</f>
        <v>740</v>
      </c>
      <c r="I149" s="77">
        <f>SUM(H150:H150)</f>
        <v>740</v>
      </c>
      <c r="J149" s="467"/>
      <c r="K149" s="389"/>
      <c r="L149" s="8"/>
      <c r="M149" s="1"/>
      <c r="N149" s="58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</row>
    <row r="150" spans="1:105" s="204" customFormat="1" ht="42" hidden="1" customHeight="1">
      <c r="A150" s="940"/>
      <c r="B150" s="954"/>
      <c r="C150" s="926" t="s">
        <v>830</v>
      </c>
      <c r="D150" s="927"/>
      <c r="E150" s="927"/>
      <c r="F150" s="928"/>
      <c r="G150" s="922" t="s">
        <v>177</v>
      </c>
      <c r="H150" s="924">
        <v>740</v>
      </c>
      <c r="I150" s="924" t="s">
        <v>34</v>
      </c>
      <c r="J150" s="535"/>
      <c r="K150" s="544"/>
      <c r="L150" s="8"/>
      <c r="M150" s="1"/>
      <c r="N150" s="58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</row>
    <row r="151" spans="1:105" s="204" customFormat="1" ht="24" hidden="1" customHeight="1">
      <c r="A151" s="941"/>
      <c r="B151" s="955"/>
      <c r="C151" s="460" t="s">
        <v>713</v>
      </c>
      <c r="D151" s="461">
        <f>H150</f>
        <v>740</v>
      </c>
      <c r="E151" s="463" t="str">
        <f>G150</f>
        <v>m2</v>
      </c>
      <c r="F151" s="462" t="s">
        <v>716</v>
      </c>
      <c r="G151" s="923"/>
      <c r="H151" s="925"/>
      <c r="I151" s="925"/>
      <c r="J151" s="535"/>
      <c r="K151" s="544"/>
      <c r="L151" s="8"/>
      <c r="M151" s="1"/>
      <c r="N151" s="58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</row>
    <row r="152" spans="1:105" s="204" customFormat="1" ht="20.25" hidden="1" customHeight="1">
      <c r="A152" s="837" t="s">
        <v>664</v>
      </c>
      <c r="B152" s="838"/>
      <c r="C152" s="838"/>
      <c r="D152" s="838"/>
      <c r="E152" s="838"/>
      <c r="F152" s="838"/>
      <c r="G152" s="838"/>
      <c r="H152" s="838"/>
      <c r="I152" s="838"/>
      <c r="J152" s="839"/>
      <c r="K152" s="479">
        <f>K145+K141+K120</f>
        <v>0</v>
      </c>
      <c r="L152" s="399">
        <f>K152</f>
        <v>0</v>
      </c>
      <c r="M152" s="399"/>
      <c r="N152" s="58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</row>
    <row r="153" spans="1:105" s="204" customFormat="1" ht="20.25" hidden="1" customHeight="1">
      <c r="A153" s="575"/>
      <c r="B153" s="576"/>
      <c r="C153" s="576"/>
      <c r="D153" s="576"/>
      <c r="E153" s="576"/>
      <c r="F153" s="576"/>
      <c r="G153" s="576"/>
      <c r="H153" s="576"/>
      <c r="I153" s="576"/>
      <c r="J153" s="576"/>
      <c r="K153" s="489"/>
      <c r="L153" s="399"/>
      <c r="M153" s="399"/>
      <c r="N153" s="58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</row>
    <row r="154" spans="1:105" s="204" customFormat="1" ht="60" hidden="1" customHeight="1">
      <c r="A154" s="922"/>
      <c r="B154" s="932"/>
      <c r="C154" s="926" t="s">
        <v>842</v>
      </c>
      <c r="D154" s="927"/>
      <c r="E154" s="927"/>
      <c r="F154" s="928"/>
      <c r="G154" s="922" t="s">
        <v>177</v>
      </c>
      <c r="H154" s="924">
        <v>28</v>
      </c>
      <c r="I154" s="924" t="s">
        <v>34</v>
      </c>
      <c r="J154" s="576"/>
      <c r="K154" s="489"/>
      <c r="L154" s="399"/>
      <c r="M154" s="399"/>
      <c r="N154" s="58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</row>
    <row r="155" spans="1:105" s="204" customFormat="1" ht="20.25" hidden="1" customHeight="1">
      <c r="A155" s="923"/>
      <c r="B155" s="933"/>
      <c r="C155" s="460" t="s">
        <v>713</v>
      </c>
      <c r="D155" s="461">
        <f>H154</f>
        <v>28</v>
      </c>
      <c r="E155" s="463" t="str">
        <f>G154</f>
        <v>m2</v>
      </c>
      <c r="F155" s="462" t="s">
        <v>811</v>
      </c>
      <c r="G155" s="923"/>
      <c r="H155" s="925"/>
      <c r="I155" s="925"/>
      <c r="J155" s="576"/>
      <c r="K155" s="489"/>
      <c r="L155" s="399"/>
      <c r="M155" s="399"/>
      <c r="N155" s="58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</row>
    <row r="156" spans="1:105" ht="15.75">
      <c r="A156" s="837" t="s">
        <v>664</v>
      </c>
      <c r="B156" s="838"/>
      <c r="C156" s="838"/>
      <c r="D156" s="838"/>
      <c r="E156" s="838"/>
      <c r="F156" s="838"/>
      <c r="G156" s="838"/>
      <c r="H156" s="838"/>
      <c r="I156" s="838"/>
      <c r="J156" s="839"/>
      <c r="K156" s="445"/>
      <c r="L156" s="3"/>
    </row>
    <row r="157" spans="1:105" s="41" customFormat="1" ht="33" customHeight="1">
      <c r="A157" s="21" t="s">
        <v>63</v>
      </c>
      <c r="B157" s="448" t="s">
        <v>60</v>
      </c>
      <c r="C157" s="737" t="s">
        <v>183</v>
      </c>
      <c r="D157" s="737"/>
      <c r="E157" s="737"/>
      <c r="F157" s="737"/>
      <c r="G157" s="737" t="s">
        <v>8</v>
      </c>
      <c r="H157" s="737"/>
      <c r="I157" s="797"/>
      <c r="J157" s="477"/>
      <c r="K157" s="457"/>
      <c r="L157" s="14"/>
      <c r="M157" s="58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</row>
    <row r="158" spans="1:105" s="8" customFormat="1" ht="19.5" customHeight="1">
      <c r="A158" s="64" t="s">
        <v>34</v>
      </c>
      <c r="B158" s="571" t="s">
        <v>23</v>
      </c>
      <c r="C158" s="736" t="s">
        <v>167</v>
      </c>
      <c r="D158" s="736"/>
      <c r="E158" s="736"/>
      <c r="F158" s="736"/>
      <c r="G158" s="736" t="s">
        <v>8</v>
      </c>
      <c r="H158" s="736"/>
      <c r="I158" s="800"/>
      <c r="J158" s="478"/>
      <c r="K158" s="454"/>
      <c r="L158" s="40"/>
      <c r="M158" s="59"/>
    </row>
    <row r="159" spans="1:105" s="11" customFormat="1" ht="20.25" customHeight="1">
      <c r="A159" s="86">
        <v>36</v>
      </c>
      <c r="B159" s="432" t="s">
        <v>0</v>
      </c>
      <c r="C159" s="794" t="s">
        <v>74</v>
      </c>
      <c r="D159" s="795"/>
      <c r="E159" s="795"/>
      <c r="F159" s="796"/>
      <c r="G159" s="86" t="s">
        <v>176</v>
      </c>
      <c r="H159" s="78">
        <f>'KI4-STARE'!I166</f>
        <v>558</v>
      </c>
      <c r="I159" s="87" t="str">
        <f>H160</f>
        <v>x</v>
      </c>
      <c r="J159" s="467"/>
      <c r="K159" s="389"/>
      <c r="L159" s="40"/>
      <c r="M159" s="8"/>
    </row>
    <row r="160" spans="1:105" s="8" customFormat="1" ht="53.25" hidden="1" customHeight="1">
      <c r="A160" s="918"/>
      <c r="B160" s="956"/>
      <c r="C160" s="926" t="s">
        <v>831</v>
      </c>
      <c r="D160" s="927"/>
      <c r="E160" s="927"/>
      <c r="F160" s="928"/>
      <c r="G160" s="922" t="s">
        <v>177</v>
      </c>
      <c r="H160" s="78" t="str">
        <f>'KI4-STARE'!I167</f>
        <v>x</v>
      </c>
      <c r="I160" s="924" t="s">
        <v>34</v>
      </c>
      <c r="J160" s="467"/>
      <c r="K160" s="389"/>
      <c r="L160" s="14"/>
      <c r="M160" s="11"/>
      <c r="N160" s="101"/>
      <c r="O160" s="314"/>
    </row>
    <row r="161" spans="1:15" s="8" customFormat="1" ht="16.5" hidden="1" customHeight="1">
      <c r="A161" s="919"/>
      <c r="B161" s="970"/>
      <c r="C161" s="460" t="s">
        <v>713</v>
      </c>
      <c r="D161" s="461" t="str">
        <f>H160</f>
        <v>x</v>
      </c>
      <c r="E161" s="463" t="str">
        <f>G160</f>
        <v>m2</v>
      </c>
      <c r="F161" s="462" t="s">
        <v>715</v>
      </c>
      <c r="G161" s="923"/>
      <c r="H161" s="78">
        <f>'KI4-STARE'!I168</f>
        <v>0</v>
      </c>
      <c r="I161" s="925"/>
      <c r="J161" s="467"/>
      <c r="K161" s="389"/>
      <c r="L161" s="14"/>
      <c r="M161" s="11"/>
      <c r="N161" s="101"/>
      <c r="O161" s="40"/>
    </row>
    <row r="162" spans="1:15" s="8" customFormat="1" ht="18.75" hidden="1" customHeight="1">
      <c r="A162" s="537"/>
      <c r="B162" s="541"/>
      <c r="C162" s="460"/>
      <c r="D162" s="461"/>
      <c r="E162" s="463"/>
      <c r="F162" s="462"/>
      <c r="G162" s="538"/>
      <c r="H162" s="78">
        <f>'KI4-STARE'!I169</f>
        <v>0</v>
      </c>
      <c r="I162" s="536"/>
      <c r="J162" s="467"/>
      <c r="K162" s="389"/>
    </row>
    <row r="163" spans="1:15" s="11" customFormat="1" ht="27.75" hidden="1" customHeight="1">
      <c r="A163" s="542">
        <v>21</v>
      </c>
      <c r="B163" s="564" t="s">
        <v>117</v>
      </c>
      <c r="C163" s="803" t="s">
        <v>694</v>
      </c>
      <c r="D163" s="804"/>
      <c r="E163" s="804"/>
      <c r="F163" s="805"/>
      <c r="G163" s="86" t="s">
        <v>176</v>
      </c>
      <c r="H163" s="78">
        <f>'KI4-STARE'!I170</f>
        <v>0</v>
      </c>
      <c r="I163" s="77" t="str">
        <f>H164</f>
        <v>x</v>
      </c>
      <c r="J163" s="467"/>
      <c r="K163" s="389"/>
      <c r="L163" s="8"/>
    </row>
    <row r="164" spans="1:15" s="11" customFormat="1" ht="75" hidden="1" customHeight="1">
      <c r="A164" s="542"/>
      <c r="B164" s="574"/>
      <c r="C164" s="960" t="s">
        <v>728</v>
      </c>
      <c r="D164" s="952"/>
      <c r="E164" s="952"/>
      <c r="F164" s="953"/>
      <c r="G164" s="922" t="s">
        <v>177</v>
      </c>
      <c r="H164" s="78" t="str">
        <f>'KI4-STARE'!I171</f>
        <v>x</v>
      </c>
      <c r="I164" s="765" t="s">
        <v>34</v>
      </c>
      <c r="J164" s="467"/>
      <c r="K164" s="389"/>
      <c r="L164" s="8"/>
    </row>
    <row r="165" spans="1:15" s="11" customFormat="1" ht="22.5" hidden="1" customHeight="1">
      <c r="A165" s="542"/>
      <c r="B165" s="574"/>
      <c r="C165" s="460" t="s">
        <v>713</v>
      </c>
      <c r="D165" s="461" t="str">
        <f>H164</f>
        <v>x</v>
      </c>
      <c r="E165" s="463" t="s">
        <v>708</v>
      </c>
      <c r="F165" s="462" t="s">
        <v>718</v>
      </c>
      <c r="G165" s="923"/>
      <c r="H165" s="78">
        <f>'KI4-STARE'!I172</f>
        <v>0</v>
      </c>
      <c r="I165" s="765"/>
      <c r="J165" s="467"/>
      <c r="K165" s="389"/>
      <c r="L165" s="8"/>
    </row>
    <row r="166" spans="1:15" s="11" customFormat="1" ht="19.5" customHeight="1">
      <c r="A166" s="542">
        <v>37</v>
      </c>
      <c r="B166" s="564" t="s">
        <v>695</v>
      </c>
      <c r="C166" s="803" t="s">
        <v>741</v>
      </c>
      <c r="D166" s="804"/>
      <c r="E166" s="804"/>
      <c r="F166" s="805"/>
      <c r="G166" s="86" t="s">
        <v>176</v>
      </c>
      <c r="H166" s="78">
        <f>'KI4-STARE'!I173</f>
        <v>10</v>
      </c>
      <c r="I166" s="77">
        <f>H167</f>
        <v>10</v>
      </c>
      <c r="J166" s="467"/>
      <c r="K166" s="389"/>
      <c r="L166" s="8"/>
    </row>
    <row r="167" spans="1:15" s="11" customFormat="1" ht="62.25" hidden="1" customHeight="1">
      <c r="A167" s="895"/>
      <c r="B167" s="958"/>
      <c r="C167" s="944" t="s">
        <v>832</v>
      </c>
      <c r="D167" s="945"/>
      <c r="E167" s="945"/>
      <c r="F167" s="946"/>
      <c r="G167" s="922" t="s">
        <v>177</v>
      </c>
      <c r="H167" s="924">
        <v>10</v>
      </c>
      <c r="I167" s="765" t="s">
        <v>34</v>
      </c>
      <c r="J167" s="924" t="s">
        <v>34</v>
      </c>
      <c r="K167" s="924" t="s">
        <v>34</v>
      </c>
      <c r="L167" s="101"/>
    </row>
    <row r="168" spans="1:15" s="11" customFormat="1" ht="21" hidden="1" customHeight="1">
      <c r="A168" s="896"/>
      <c r="B168" s="959"/>
      <c r="C168" s="460" t="s">
        <v>713</v>
      </c>
      <c r="D168" s="461">
        <f>H167</f>
        <v>10</v>
      </c>
      <c r="E168" s="463" t="str">
        <f>G167</f>
        <v>m2</v>
      </c>
      <c r="F168" s="462" t="s">
        <v>742</v>
      </c>
      <c r="G168" s="923"/>
      <c r="H168" s="925"/>
      <c r="I168" s="765"/>
      <c r="J168" s="925"/>
      <c r="K168" s="925"/>
      <c r="L168" s="8"/>
    </row>
    <row r="169" spans="1:15" s="11" customFormat="1" ht="17.25" hidden="1" customHeight="1">
      <c r="A169" s="837" t="s">
        <v>665</v>
      </c>
      <c r="B169" s="838"/>
      <c r="C169" s="838"/>
      <c r="D169" s="838"/>
      <c r="E169" s="838"/>
      <c r="F169" s="838"/>
      <c r="G169" s="838"/>
      <c r="H169" s="838"/>
      <c r="I169" s="838"/>
      <c r="J169" s="839"/>
      <c r="K169" s="479" t="e">
        <f>#REF!+K166+K163+#REF!+K159</f>
        <v>#REF!</v>
      </c>
      <c r="L169" s="399" t="e">
        <f>K169</f>
        <v>#REF!</v>
      </c>
      <c r="M169" s="399"/>
    </row>
    <row r="170" spans="1:15" s="11" customFormat="1" ht="34.5" hidden="1" customHeight="1">
      <c r="A170" s="21" t="s">
        <v>93</v>
      </c>
      <c r="B170" s="448" t="s">
        <v>62</v>
      </c>
      <c r="C170" s="880" t="s">
        <v>184</v>
      </c>
      <c r="D170" s="881"/>
      <c r="E170" s="881"/>
      <c r="F170" s="881"/>
      <c r="G170" s="881"/>
      <c r="H170" s="881"/>
      <c r="I170" s="881"/>
      <c r="J170" s="475"/>
      <c r="K170" s="456"/>
      <c r="L170" s="8"/>
    </row>
    <row r="171" spans="1:15" s="11" customFormat="1" ht="18.75" hidden="1" customHeight="1">
      <c r="A171" s="64" t="s">
        <v>34</v>
      </c>
      <c r="B171" s="64" t="s">
        <v>690</v>
      </c>
      <c r="C171" s="736" t="s">
        <v>691</v>
      </c>
      <c r="D171" s="736"/>
      <c r="E171" s="736"/>
      <c r="F171" s="736"/>
      <c r="G171" s="736" t="s">
        <v>8</v>
      </c>
      <c r="H171" s="736"/>
      <c r="I171" s="800"/>
      <c r="J171" s="478"/>
      <c r="K171" s="454"/>
    </row>
    <row r="172" spans="1:15" s="11" customFormat="1" ht="27.75" hidden="1" customHeight="1">
      <c r="A172" s="458">
        <v>24</v>
      </c>
      <c r="B172" s="564" t="s">
        <v>692</v>
      </c>
      <c r="C172" s="803" t="s">
        <v>693</v>
      </c>
      <c r="D172" s="804"/>
      <c r="E172" s="804"/>
      <c r="F172" s="805"/>
      <c r="G172" s="458" t="s">
        <v>11</v>
      </c>
      <c r="H172" s="566" t="s">
        <v>34</v>
      </c>
      <c r="I172" s="528">
        <f>H173</f>
        <v>0</v>
      </c>
      <c r="J172" s="474">
        <v>190</v>
      </c>
      <c r="K172" s="391">
        <f>I172*J172</f>
        <v>0</v>
      </c>
    </row>
    <row r="173" spans="1:15" s="11" customFormat="1" ht="33.75" hidden="1" customHeight="1">
      <c r="A173" s="458"/>
      <c r="B173" s="574"/>
      <c r="C173" s="960" t="s">
        <v>727</v>
      </c>
      <c r="D173" s="952"/>
      <c r="E173" s="952"/>
      <c r="F173" s="953"/>
      <c r="G173" s="961" t="s">
        <v>11</v>
      </c>
      <c r="H173" s="831">
        <v>0</v>
      </c>
      <c r="I173" s="831" t="s">
        <v>34</v>
      </c>
      <c r="J173" s="473"/>
      <c r="K173" s="391"/>
    </row>
    <row r="174" spans="1:15" s="11" customFormat="1" ht="16.5" hidden="1" customHeight="1">
      <c r="A174" s="515"/>
      <c r="B174" s="481"/>
      <c r="C174" s="460" t="s">
        <v>712</v>
      </c>
      <c r="D174" s="461">
        <f>H173</f>
        <v>0</v>
      </c>
      <c r="E174" s="463" t="str">
        <f>G173</f>
        <v>m</v>
      </c>
      <c r="F174" s="462" t="s">
        <v>715</v>
      </c>
      <c r="G174" s="962"/>
      <c r="H174" s="832"/>
      <c r="I174" s="832"/>
      <c r="J174" s="480"/>
      <c r="K174" s="539"/>
    </row>
    <row r="175" spans="1:15" s="11" customFormat="1" ht="26.25" hidden="1" customHeight="1">
      <c r="A175" s="458">
        <v>25</v>
      </c>
      <c r="B175" s="569" t="s">
        <v>723</v>
      </c>
      <c r="C175" s="803" t="s">
        <v>724</v>
      </c>
      <c r="D175" s="804"/>
      <c r="E175" s="804"/>
      <c r="F175" s="805"/>
      <c r="G175" s="458" t="s">
        <v>11</v>
      </c>
      <c r="H175" s="566" t="s">
        <v>34</v>
      </c>
      <c r="I175" s="566">
        <f>H176</f>
        <v>0</v>
      </c>
      <c r="J175" s="566">
        <v>123.25</v>
      </c>
      <c r="K175" s="539">
        <f>J175*I175</f>
        <v>0</v>
      </c>
    </row>
    <row r="176" spans="1:15" s="11" customFormat="1" ht="78" hidden="1" customHeight="1">
      <c r="A176" s="458"/>
      <c r="B176" s="574"/>
      <c r="C176" s="960" t="s">
        <v>725</v>
      </c>
      <c r="D176" s="952"/>
      <c r="E176" s="952"/>
      <c r="F176" s="953"/>
      <c r="G176" s="961" t="s">
        <v>11</v>
      </c>
      <c r="H176" s="831">
        <v>0</v>
      </c>
      <c r="I176" s="831" t="s">
        <v>34</v>
      </c>
      <c r="J176" s="480"/>
      <c r="K176" s="539"/>
    </row>
    <row r="177" spans="1:105" s="11" customFormat="1" ht="21.75" hidden="1" customHeight="1">
      <c r="A177" s="515"/>
      <c r="B177" s="481"/>
      <c r="C177" s="460" t="s">
        <v>712</v>
      </c>
      <c r="D177" s="461">
        <f>H176</f>
        <v>0</v>
      </c>
      <c r="E177" s="463" t="str">
        <f>G176</f>
        <v>m</v>
      </c>
      <c r="F177" s="462" t="s">
        <v>715</v>
      </c>
      <c r="G177" s="962"/>
      <c r="H177" s="832"/>
      <c r="I177" s="832"/>
      <c r="J177" s="480"/>
      <c r="K177" s="539"/>
    </row>
    <row r="178" spans="1:105" ht="15.75" hidden="1">
      <c r="A178" s="837" t="s">
        <v>666</v>
      </c>
      <c r="B178" s="838"/>
      <c r="C178" s="838"/>
      <c r="D178" s="838"/>
      <c r="E178" s="838"/>
      <c r="F178" s="838"/>
      <c r="G178" s="838"/>
      <c r="H178" s="838"/>
      <c r="I178" s="838"/>
      <c r="J178" s="839"/>
      <c r="K178" s="479">
        <f>K172+K175</f>
        <v>0</v>
      </c>
      <c r="L178" s="399">
        <f>K178</f>
        <v>0</v>
      </c>
    </row>
    <row r="179" spans="1:105" ht="15.75">
      <c r="A179" s="837" t="s">
        <v>665</v>
      </c>
      <c r="B179" s="838"/>
      <c r="C179" s="838"/>
      <c r="D179" s="838"/>
      <c r="E179" s="838"/>
      <c r="F179" s="838"/>
      <c r="G179" s="838"/>
      <c r="H179" s="838"/>
      <c r="I179" s="838"/>
      <c r="J179" s="839"/>
      <c r="K179" s="445"/>
      <c r="L179" s="3"/>
    </row>
    <row r="180" spans="1:105" s="41" customFormat="1" ht="29.25" customHeight="1">
      <c r="A180" s="21" t="s">
        <v>93</v>
      </c>
      <c r="B180" s="21" t="s">
        <v>64</v>
      </c>
      <c r="C180" s="737" t="s">
        <v>185</v>
      </c>
      <c r="D180" s="737"/>
      <c r="E180" s="737"/>
      <c r="F180" s="737"/>
      <c r="G180" s="737" t="s">
        <v>8</v>
      </c>
      <c r="H180" s="737"/>
      <c r="I180" s="797"/>
      <c r="J180" s="477"/>
      <c r="K180" s="457"/>
      <c r="L180" s="14"/>
      <c r="M180" s="58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</row>
    <row r="181" spans="1:105" s="8" customFormat="1" ht="19.5" customHeight="1">
      <c r="A181" s="64" t="s">
        <v>34</v>
      </c>
      <c r="B181" s="64" t="s">
        <v>24</v>
      </c>
      <c r="C181" s="736" t="s">
        <v>747</v>
      </c>
      <c r="D181" s="736"/>
      <c r="E181" s="736"/>
      <c r="F181" s="736"/>
      <c r="G181" s="736" t="s">
        <v>8</v>
      </c>
      <c r="H181" s="736"/>
      <c r="I181" s="800"/>
      <c r="J181" s="478"/>
      <c r="K181" s="454"/>
      <c r="L181" s="40"/>
      <c r="M181" s="59"/>
    </row>
    <row r="182" spans="1:105" s="11" customFormat="1" ht="26.25" customHeight="1">
      <c r="A182" s="86">
        <v>38</v>
      </c>
      <c r="B182" s="569" t="s">
        <v>749</v>
      </c>
      <c r="C182" s="794" t="s">
        <v>802</v>
      </c>
      <c r="D182" s="795"/>
      <c r="E182" s="795"/>
      <c r="F182" s="796"/>
      <c r="G182" s="86" t="s">
        <v>11</v>
      </c>
      <c r="H182" s="78">
        <f>'KI4-STARE'!I189</f>
        <v>740</v>
      </c>
      <c r="I182" s="87">
        <f>H183</f>
        <v>740</v>
      </c>
      <c r="J182" s="467"/>
      <c r="K182" s="389"/>
      <c r="L182" s="40"/>
      <c r="M182" s="8"/>
    </row>
    <row r="183" spans="1:105" s="8" customFormat="1" ht="56.25" hidden="1" customHeight="1">
      <c r="A183" s="918"/>
      <c r="B183" s="956"/>
      <c r="C183" s="926" t="s">
        <v>803</v>
      </c>
      <c r="D183" s="927"/>
      <c r="E183" s="927"/>
      <c r="F183" s="928"/>
      <c r="G183" s="922" t="s">
        <v>11</v>
      </c>
      <c r="H183" s="924">
        <v>740</v>
      </c>
      <c r="I183" s="924" t="s">
        <v>34</v>
      </c>
      <c r="J183" s="861" t="s">
        <v>34</v>
      </c>
      <c r="K183" s="861" t="s">
        <v>34</v>
      </c>
      <c r="L183" s="14"/>
      <c r="M183" s="11"/>
      <c r="N183" s="101"/>
      <c r="O183" s="314"/>
    </row>
    <row r="184" spans="1:105" s="8" customFormat="1" ht="21.75" hidden="1" customHeight="1">
      <c r="A184" s="919"/>
      <c r="B184" s="970"/>
      <c r="C184" s="460" t="s">
        <v>712</v>
      </c>
      <c r="D184" s="461">
        <f>H183</f>
        <v>740</v>
      </c>
      <c r="E184" s="463" t="s">
        <v>11</v>
      </c>
      <c r="F184" s="462" t="s">
        <v>718</v>
      </c>
      <c r="G184" s="923"/>
      <c r="H184" s="925"/>
      <c r="I184" s="925"/>
      <c r="J184" s="862"/>
      <c r="K184" s="862"/>
      <c r="L184" s="14"/>
      <c r="M184" s="11"/>
      <c r="N184" s="101"/>
      <c r="O184" s="40"/>
    </row>
    <row r="185" spans="1:105" s="11" customFormat="1" ht="17.25" hidden="1" customHeight="1">
      <c r="A185" s="837" t="s">
        <v>666</v>
      </c>
      <c r="B185" s="838"/>
      <c r="C185" s="838"/>
      <c r="D185" s="838"/>
      <c r="E185" s="838"/>
      <c r="F185" s="838"/>
      <c r="G185" s="838"/>
      <c r="H185" s="838"/>
      <c r="I185" s="838"/>
      <c r="J185" s="839"/>
      <c r="K185" s="479" t="e">
        <f>K182+K177+K174+K170+#REF!</f>
        <v>#REF!</v>
      </c>
      <c r="L185" s="399" t="e">
        <f>K185</f>
        <v>#REF!</v>
      </c>
      <c r="M185" s="399"/>
    </row>
    <row r="186" spans="1:105" s="11" customFormat="1" ht="17.25" customHeight="1">
      <c r="A186" s="86">
        <v>39</v>
      </c>
      <c r="B186" s="569" t="s">
        <v>750</v>
      </c>
      <c r="C186" s="794" t="s">
        <v>748</v>
      </c>
      <c r="D186" s="795"/>
      <c r="E186" s="795"/>
      <c r="F186" s="796"/>
      <c r="G186" s="86" t="s">
        <v>11</v>
      </c>
      <c r="H186" s="78">
        <f>'KI4-STARE'!I193</f>
        <v>1176.8</v>
      </c>
      <c r="I186" s="87">
        <f>H187</f>
        <v>1176.8</v>
      </c>
      <c r="J186" s="467"/>
      <c r="K186" s="389"/>
      <c r="L186" s="399"/>
      <c r="M186" s="399"/>
    </row>
    <row r="187" spans="1:105" s="11" customFormat="1" ht="47.25" hidden="1" customHeight="1">
      <c r="A187" s="918"/>
      <c r="B187" s="956"/>
      <c r="C187" s="926" t="s">
        <v>804</v>
      </c>
      <c r="D187" s="927"/>
      <c r="E187" s="927"/>
      <c r="F187" s="928"/>
      <c r="G187" s="922" t="s">
        <v>11</v>
      </c>
      <c r="H187" s="924">
        <v>1176.8</v>
      </c>
      <c r="I187" s="924" t="s">
        <v>34</v>
      </c>
      <c r="J187" s="467"/>
      <c r="K187" s="389"/>
      <c r="L187" s="399"/>
      <c r="M187" s="399"/>
    </row>
    <row r="188" spans="1:105" s="11" customFormat="1" ht="17.25" hidden="1" customHeight="1">
      <c r="A188" s="919"/>
      <c r="B188" s="970"/>
      <c r="C188" s="460" t="s">
        <v>713</v>
      </c>
      <c r="D188" s="461">
        <f>H187</f>
        <v>1176.8</v>
      </c>
      <c r="E188" s="463" t="s">
        <v>708</v>
      </c>
      <c r="F188" s="462" t="s">
        <v>716</v>
      </c>
      <c r="G188" s="923"/>
      <c r="H188" s="925"/>
      <c r="I188" s="925"/>
      <c r="J188" s="467"/>
      <c r="K188" s="389"/>
      <c r="L188" s="399"/>
      <c r="M188" s="399"/>
    </row>
    <row r="189" spans="1:105" s="11" customFormat="1" ht="17.25" customHeight="1">
      <c r="A189" s="86">
        <v>40</v>
      </c>
      <c r="B189" s="569" t="s">
        <v>1</v>
      </c>
      <c r="C189" s="794" t="s">
        <v>748</v>
      </c>
      <c r="D189" s="795"/>
      <c r="E189" s="795"/>
      <c r="F189" s="796"/>
      <c r="G189" s="86" t="s">
        <v>11</v>
      </c>
      <c r="H189" s="78" t="e">
        <f>'KI4-STARE'!I196</f>
        <v>#REF!</v>
      </c>
      <c r="I189" s="87" t="e">
        <f>H190</f>
        <v>#REF!</v>
      </c>
      <c r="J189" s="467"/>
      <c r="K189" s="389"/>
      <c r="L189" s="399"/>
      <c r="M189" s="399"/>
    </row>
    <row r="190" spans="1:105" s="11" customFormat="1" ht="45.75" hidden="1" customHeight="1">
      <c r="A190" s="918"/>
      <c r="B190" s="956"/>
      <c r="C190" s="926" t="s">
        <v>805</v>
      </c>
      <c r="D190" s="927"/>
      <c r="E190" s="927"/>
      <c r="F190" s="928"/>
      <c r="G190" s="922" t="s">
        <v>11</v>
      </c>
      <c r="H190" s="924" t="e">
        <f>#REF!</f>
        <v>#REF!</v>
      </c>
      <c r="I190" s="924" t="s">
        <v>34</v>
      </c>
      <c r="J190" s="474"/>
      <c r="K190" s="391"/>
      <c r="L190" s="399"/>
      <c r="M190" s="399"/>
      <c r="O190" s="494"/>
      <c r="P190" s="495"/>
      <c r="Q190" s="504"/>
      <c r="R190" s="494"/>
      <c r="S190" s="526"/>
      <c r="T190" s="526"/>
    </row>
    <row r="191" spans="1:105" s="11" customFormat="1" ht="23.25" hidden="1" customHeight="1">
      <c r="A191" s="919"/>
      <c r="B191" s="970"/>
      <c r="C191" s="460" t="s">
        <v>713</v>
      </c>
      <c r="D191" s="461" t="e">
        <f>H190</f>
        <v>#REF!</v>
      </c>
      <c r="E191" s="463" t="s">
        <v>708</v>
      </c>
      <c r="F191" s="462" t="s">
        <v>807</v>
      </c>
      <c r="G191" s="923"/>
      <c r="H191" s="925"/>
      <c r="I191" s="925"/>
      <c r="J191" s="474"/>
      <c r="K191" s="391"/>
      <c r="L191" s="530"/>
      <c r="M191" s="399"/>
      <c r="O191" s="497"/>
      <c r="P191" s="505"/>
      <c r="Q191" s="499"/>
      <c r="R191" s="500"/>
      <c r="S191" s="547"/>
      <c r="T191" s="526"/>
    </row>
    <row r="192" spans="1:105" s="11" customFormat="1" ht="23.25" customHeight="1">
      <c r="A192" s="86">
        <v>41</v>
      </c>
      <c r="B192" s="549" t="s">
        <v>2</v>
      </c>
      <c r="C192" s="806" t="s">
        <v>743</v>
      </c>
      <c r="D192" s="806"/>
      <c r="E192" s="806"/>
      <c r="F192" s="806"/>
      <c r="G192" s="86" t="s">
        <v>11</v>
      </c>
      <c r="H192" s="78">
        <f>'KI4-STARE'!I199</f>
        <v>734</v>
      </c>
      <c r="I192" s="87">
        <f>H193</f>
        <v>734</v>
      </c>
      <c r="J192" s="467"/>
      <c r="K192" s="389"/>
      <c r="L192" s="399"/>
      <c r="M192" s="399"/>
      <c r="O192" s="497"/>
      <c r="P192" s="505"/>
      <c r="Q192" s="499"/>
      <c r="R192" s="500"/>
      <c r="S192" s="547"/>
      <c r="T192" s="526"/>
    </row>
    <row r="193" spans="1:20" s="11" customFormat="1" ht="45.75" hidden="1" customHeight="1">
      <c r="A193" s="918"/>
      <c r="B193" s="956"/>
      <c r="C193" s="976" t="s">
        <v>751</v>
      </c>
      <c r="D193" s="976"/>
      <c r="E193" s="976"/>
      <c r="F193" s="976"/>
      <c r="G193" s="922" t="s">
        <v>11</v>
      </c>
      <c r="H193" s="924">
        <v>734</v>
      </c>
      <c r="I193" s="924" t="s">
        <v>34</v>
      </c>
      <c r="J193" s="490"/>
      <c r="K193" s="516"/>
      <c r="L193" s="399"/>
      <c r="M193" s="399"/>
      <c r="O193" s="497"/>
      <c r="P193" s="505"/>
      <c r="Q193" s="499"/>
      <c r="R193" s="500"/>
      <c r="S193" s="547"/>
      <c r="T193" s="526"/>
    </row>
    <row r="194" spans="1:20" s="11" customFormat="1" ht="23.25" hidden="1" customHeight="1">
      <c r="A194" s="919"/>
      <c r="B194" s="970"/>
      <c r="C194" s="460" t="s">
        <v>712</v>
      </c>
      <c r="D194" s="461">
        <f>H193</f>
        <v>734</v>
      </c>
      <c r="E194" s="463" t="s">
        <v>11</v>
      </c>
      <c r="F194" s="462" t="s">
        <v>716</v>
      </c>
      <c r="G194" s="923"/>
      <c r="H194" s="925"/>
      <c r="I194" s="925"/>
      <c r="J194" s="490"/>
      <c r="K194" s="516"/>
      <c r="L194" s="399"/>
      <c r="M194" s="399"/>
      <c r="O194" s="497"/>
      <c r="P194" s="505"/>
      <c r="Q194" s="499"/>
      <c r="R194" s="500"/>
      <c r="S194" s="547"/>
      <c r="T194" s="526"/>
    </row>
    <row r="195" spans="1:20" s="11" customFormat="1" ht="23.25" customHeight="1">
      <c r="A195" s="64" t="s">
        <v>34</v>
      </c>
      <c r="B195" s="64" t="s">
        <v>744</v>
      </c>
      <c r="C195" s="977" t="s">
        <v>745</v>
      </c>
      <c r="D195" s="978"/>
      <c r="E195" s="978"/>
      <c r="F195" s="978"/>
      <c r="G195" s="978"/>
      <c r="H195" s="978"/>
      <c r="I195" s="978"/>
      <c r="J195" s="978"/>
      <c r="K195" s="979"/>
      <c r="L195" s="399"/>
      <c r="M195" s="399"/>
      <c r="O195" s="497"/>
      <c r="P195" s="505"/>
      <c r="Q195" s="499"/>
      <c r="R195" s="500"/>
      <c r="S195" s="547"/>
      <c r="T195" s="526"/>
    </row>
    <row r="196" spans="1:20" s="11" customFormat="1" ht="23.25" customHeight="1">
      <c r="A196" s="74">
        <v>42</v>
      </c>
      <c r="B196" s="74" t="s">
        <v>746</v>
      </c>
      <c r="C196" s="803" t="s">
        <v>752</v>
      </c>
      <c r="D196" s="804"/>
      <c r="E196" s="804"/>
      <c r="F196" s="804"/>
      <c r="G196" s="86" t="s">
        <v>708</v>
      </c>
      <c r="H196" s="78">
        <f>'KI4-STARE'!I203</f>
        <v>0</v>
      </c>
      <c r="I196" s="87">
        <f>H197</f>
        <v>148</v>
      </c>
      <c r="J196" s="467"/>
      <c r="K196" s="389"/>
      <c r="L196" s="399"/>
      <c r="M196" s="399"/>
      <c r="O196" s="497"/>
      <c r="P196" s="505"/>
      <c r="Q196" s="499"/>
      <c r="R196" s="500"/>
      <c r="S196" s="547"/>
      <c r="T196" s="526"/>
    </row>
    <row r="197" spans="1:20" s="11" customFormat="1" ht="45.75" hidden="1" customHeight="1">
      <c r="A197" s="918"/>
      <c r="B197" s="942"/>
      <c r="C197" s="976" t="s">
        <v>806</v>
      </c>
      <c r="D197" s="987"/>
      <c r="E197" s="987"/>
      <c r="F197" s="987"/>
      <c r="G197" s="922" t="s">
        <v>708</v>
      </c>
      <c r="H197" s="924">
        <v>148</v>
      </c>
      <c r="I197" s="924" t="s">
        <v>34</v>
      </c>
      <c r="J197" s="490"/>
      <c r="K197" s="516"/>
      <c r="L197" s="399"/>
      <c r="M197" s="399"/>
      <c r="O197" s="497"/>
      <c r="P197" s="505"/>
      <c r="Q197" s="499"/>
      <c r="R197" s="500"/>
      <c r="S197" s="547"/>
      <c r="T197" s="526"/>
    </row>
    <row r="198" spans="1:20" s="11" customFormat="1" ht="23.25" hidden="1" customHeight="1">
      <c r="A198" s="919"/>
      <c r="B198" s="943"/>
      <c r="C198" s="460" t="s">
        <v>713</v>
      </c>
      <c r="D198" s="461">
        <f>H197</f>
        <v>148</v>
      </c>
      <c r="E198" s="463" t="s">
        <v>708</v>
      </c>
      <c r="F198" s="462" t="s">
        <v>716</v>
      </c>
      <c r="G198" s="923"/>
      <c r="H198" s="925"/>
      <c r="I198" s="925"/>
      <c r="J198" s="490"/>
      <c r="K198" s="516"/>
      <c r="L198" s="399"/>
      <c r="M198" s="399"/>
      <c r="O198" s="497"/>
      <c r="P198" s="505"/>
      <c r="Q198" s="499"/>
      <c r="R198" s="500"/>
      <c r="S198" s="547"/>
      <c r="T198" s="526"/>
    </row>
    <row r="199" spans="1:20" ht="22.5" customHeight="1">
      <c r="A199" s="837" t="s">
        <v>666</v>
      </c>
      <c r="B199" s="838"/>
      <c r="C199" s="838"/>
      <c r="D199" s="838"/>
      <c r="E199" s="838"/>
      <c r="F199" s="838"/>
      <c r="G199" s="838"/>
      <c r="H199" s="838"/>
      <c r="I199" s="838"/>
      <c r="J199" s="839"/>
      <c r="K199" s="445"/>
      <c r="L199" s="3"/>
    </row>
    <row r="200" spans="1:20" ht="25.5" customHeight="1">
      <c r="A200" s="21" t="s">
        <v>33</v>
      </c>
      <c r="B200" s="448" t="s">
        <v>62</v>
      </c>
      <c r="C200" s="735" t="s">
        <v>184</v>
      </c>
      <c r="D200" s="735"/>
      <c r="E200" s="735"/>
      <c r="F200" s="735"/>
      <c r="G200" s="735"/>
      <c r="H200" s="735"/>
      <c r="I200" s="735"/>
      <c r="J200" s="735"/>
      <c r="K200" s="735"/>
    </row>
    <row r="201" spans="1:20" ht="20.25" customHeight="1">
      <c r="A201" s="64" t="s">
        <v>34</v>
      </c>
      <c r="B201" s="64" t="s">
        <v>119</v>
      </c>
      <c r="C201" s="980" t="s">
        <v>118</v>
      </c>
      <c r="D201" s="981"/>
      <c r="E201" s="981"/>
      <c r="F201" s="981"/>
      <c r="G201" s="981"/>
      <c r="H201" s="981"/>
      <c r="I201" s="981"/>
      <c r="J201" s="981"/>
      <c r="K201" s="982"/>
    </row>
    <row r="202" spans="1:20" ht="20.25" customHeight="1">
      <c r="A202" s="74">
        <v>43</v>
      </c>
      <c r="B202" s="74" t="s">
        <v>119</v>
      </c>
      <c r="C202" s="762" t="s">
        <v>169</v>
      </c>
      <c r="D202" s="762"/>
      <c r="E202" s="762"/>
      <c r="F202" s="762"/>
      <c r="G202" s="86" t="s">
        <v>9</v>
      </c>
      <c r="H202" s="78" t="e">
        <f>'KI4-STARE'!I209</f>
        <v>#REF!</v>
      </c>
      <c r="I202" s="87">
        <f>H203</f>
        <v>2</v>
      </c>
      <c r="J202" s="467"/>
      <c r="K202" s="389"/>
    </row>
    <row r="203" spans="1:20" ht="23.25" hidden="1" customHeight="1">
      <c r="A203" s="983"/>
      <c r="B203" s="985"/>
      <c r="C203" s="976" t="s">
        <v>754</v>
      </c>
      <c r="D203" s="987"/>
      <c r="E203" s="987"/>
      <c r="F203" s="987"/>
      <c r="G203" s="922" t="s">
        <v>9</v>
      </c>
      <c r="H203" s="924">
        <v>2</v>
      </c>
      <c r="I203" s="924" t="s">
        <v>34</v>
      </c>
      <c r="J203" s="474"/>
      <c r="K203" s="391"/>
    </row>
    <row r="204" spans="1:20" ht="19.5" hidden="1" customHeight="1">
      <c r="A204" s="984"/>
      <c r="B204" s="986"/>
      <c r="C204" s="510" t="s">
        <v>717</v>
      </c>
      <c r="D204" s="511">
        <f>H203</f>
        <v>2</v>
      </c>
      <c r="E204" s="512" t="s">
        <v>9</v>
      </c>
      <c r="F204" s="512" t="s">
        <v>756</v>
      </c>
      <c r="G204" s="923"/>
      <c r="H204" s="925"/>
      <c r="I204" s="925"/>
      <c r="J204" s="474"/>
      <c r="K204" s="391"/>
    </row>
    <row r="205" spans="1:20" ht="22.5" customHeight="1">
      <c r="A205" s="22">
        <v>44</v>
      </c>
      <c r="B205" s="564" t="s">
        <v>170</v>
      </c>
      <c r="C205" s="762" t="s">
        <v>217</v>
      </c>
      <c r="D205" s="762"/>
      <c r="E205" s="762"/>
      <c r="F205" s="762"/>
      <c r="G205" s="86" t="s">
        <v>9</v>
      </c>
      <c r="H205" s="78">
        <f>'KI4-STARE'!I212</f>
        <v>3</v>
      </c>
      <c r="I205" s="87">
        <f>H206</f>
        <v>3</v>
      </c>
      <c r="J205" s="467"/>
      <c r="K205" s="389"/>
    </row>
    <row r="206" spans="1:20" ht="18" hidden="1" customHeight="1">
      <c r="A206" s="983"/>
      <c r="B206" s="985"/>
      <c r="C206" s="997" t="s">
        <v>753</v>
      </c>
      <c r="D206" s="998"/>
      <c r="E206" s="998"/>
      <c r="F206" s="999"/>
      <c r="G206" s="922" t="s">
        <v>9</v>
      </c>
      <c r="H206" s="924">
        <v>3</v>
      </c>
      <c r="I206" s="924" t="s">
        <v>34</v>
      </c>
      <c r="J206" s="517"/>
      <c r="K206" s="518"/>
    </row>
    <row r="207" spans="1:20" ht="18.75" hidden="1" customHeight="1">
      <c r="A207" s="984"/>
      <c r="B207" s="986"/>
      <c r="C207" s="510" t="s">
        <v>717</v>
      </c>
      <c r="D207" s="511">
        <f>H206</f>
        <v>3</v>
      </c>
      <c r="E207" s="512" t="s">
        <v>755</v>
      </c>
      <c r="F207" s="512" t="s">
        <v>756</v>
      </c>
      <c r="G207" s="923"/>
      <c r="H207" s="925"/>
      <c r="I207" s="925"/>
      <c r="J207" s="517"/>
      <c r="K207" s="518"/>
    </row>
    <row r="208" spans="1:20" ht="16.5" customHeight="1">
      <c r="A208" s="64" t="s">
        <v>34</v>
      </c>
      <c r="B208" s="64" t="s">
        <v>171</v>
      </c>
      <c r="C208" s="992" t="s">
        <v>172</v>
      </c>
      <c r="D208" s="993"/>
      <c r="E208" s="993"/>
      <c r="F208" s="993"/>
      <c r="G208" s="993"/>
      <c r="H208" s="993"/>
      <c r="I208" s="993"/>
      <c r="J208" s="993"/>
      <c r="K208" s="994"/>
      <c r="L208" s="399"/>
    </row>
    <row r="209" spans="1:19" ht="16.5" customHeight="1">
      <c r="A209" s="509">
        <v>45</v>
      </c>
      <c r="B209" s="506" t="s">
        <v>173</v>
      </c>
      <c r="C209" s="803" t="s">
        <v>757</v>
      </c>
      <c r="D209" s="804"/>
      <c r="E209" s="804"/>
      <c r="F209" s="805"/>
      <c r="G209" s="458" t="s">
        <v>11</v>
      </c>
      <c r="H209" s="78">
        <f>'KI4-STARE'!I216</f>
        <v>376.9</v>
      </c>
      <c r="I209" s="528">
        <f>H210</f>
        <v>6</v>
      </c>
      <c r="J209" s="467"/>
      <c r="K209" s="389"/>
      <c r="L209" s="399"/>
    </row>
    <row r="210" spans="1:19" ht="39" hidden="1" customHeight="1">
      <c r="A210" s="995"/>
      <c r="B210" s="958"/>
      <c r="C210" s="944" t="s">
        <v>809</v>
      </c>
      <c r="D210" s="945"/>
      <c r="E210" s="945"/>
      <c r="F210" s="946"/>
      <c r="G210" s="961" t="s">
        <v>11</v>
      </c>
      <c r="H210" s="831">
        <v>6</v>
      </c>
      <c r="I210" s="831" t="s">
        <v>34</v>
      </c>
      <c r="J210" s="517"/>
      <c r="K210" s="518"/>
    </row>
    <row r="211" spans="1:19" ht="18.75" hidden="1" customHeight="1">
      <c r="A211" s="996"/>
      <c r="B211" s="959"/>
      <c r="C211" s="460" t="s">
        <v>712</v>
      </c>
      <c r="D211" s="461">
        <f>H210</f>
        <v>6</v>
      </c>
      <c r="E211" s="463" t="s">
        <v>11</v>
      </c>
      <c r="F211" s="462" t="s">
        <v>716</v>
      </c>
      <c r="G211" s="962"/>
      <c r="H211" s="832"/>
      <c r="I211" s="832"/>
      <c r="J211" s="519"/>
      <c r="K211" s="520"/>
    </row>
    <row r="212" spans="1:19" ht="15.75">
      <c r="A212" s="837" t="s">
        <v>223</v>
      </c>
      <c r="B212" s="838"/>
      <c r="C212" s="838"/>
      <c r="D212" s="838"/>
      <c r="E212" s="838"/>
      <c r="F212" s="838"/>
      <c r="G212" s="838"/>
      <c r="H212" s="838"/>
      <c r="I212" s="838"/>
      <c r="J212" s="839"/>
      <c r="K212" s="445"/>
      <c r="L212" s="3"/>
    </row>
    <row r="213" spans="1:19" ht="15.75">
      <c r="A213" s="840" t="s">
        <v>897</v>
      </c>
      <c r="B213" s="841"/>
      <c r="C213" s="841"/>
      <c r="D213" s="841"/>
      <c r="E213" s="841"/>
      <c r="F213" s="841"/>
      <c r="G213" s="841"/>
      <c r="H213" s="841"/>
      <c r="I213" s="841"/>
      <c r="J213" s="842"/>
      <c r="K213" s="403"/>
      <c r="L213" s="485"/>
    </row>
    <row r="214" spans="1:19" ht="25.5" customHeight="1">
      <c r="A214" s="23" t="s">
        <v>126</v>
      </c>
      <c r="B214" s="761" t="s">
        <v>876</v>
      </c>
      <c r="C214" s="761"/>
      <c r="D214" s="761"/>
      <c r="E214" s="761"/>
      <c r="F214" s="761"/>
      <c r="G214" s="761"/>
      <c r="H214" s="761"/>
      <c r="I214" s="761"/>
      <c r="J214" s="761"/>
      <c r="K214" s="761"/>
      <c r="L214" s="485"/>
      <c r="N214" s="491"/>
      <c r="O214" s="491"/>
      <c r="P214" s="988"/>
      <c r="Q214" s="988"/>
      <c r="R214" s="988"/>
      <c r="S214" s="988"/>
    </row>
    <row r="215" spans="1:19" ht="25.5" customHeight="1">
      <c r="A215" s="24" t="s">
        <v>854</v>
      </c>
      <c r="B215" s="21" t="s">
        <v>855</v>
      </c>
      <c r="C215" s="735" t="s">
        <v>856</v>
      </c>
      <c r="D215" s="735"/>
      <c r="E215" s="735"/>
      <c r="F215" s="735"/>
      <c r="G215" s="735"/>
      <c r="H215" s="735"/>
      <c r="I215" s="735"/>
      <c r="J215" s="735"/>
      <c r="K215" s="735"/>
      <c r="N215" s="492"/>
      <c r="O215" s="492"/>
      <c r="P215" s="493"/>
      <c r="Q215" s="493"/>
      <c r="R215" s="493"/>
      <c r="S215" s="493"/>
    </row>
    <row r="216" spans="1:19" ht="19.5" customHeight="1">
      <c r="A216" s="64" t="s">
        <v>34</v>
      </c>
      <c r="B216" s="577" t="s">
        <v>857</v>
      </c>
      <c r="C216" s="989" t="s">
        <v>858</v>
      </c>
      <c r="D216" s="990"/>
      <c r="E216" s="990"/>
      <c r="F216" s="990"/>
      <c r="G216" s="990"/>
      <c r="H216" s="990"/>
      <c r="I216" s="990"/>
      <c r="J216" s="990"/>
      <c r="K216" s="991"/>
      <c r="N216" s="492"/>
      <c r="O216" s="492"/>
      <c r="P216" s="493"/>
      <c r="Q216" s="493"/>
      <c r="R216" s="493"/>
      <c r="S216" s="493"/>
    </row>
    <row r="217" spans="1:19" ht="21.75" customHeight="1">
      <c r="A217" s="509">
        <v>46</v>
      </c>
      <c r="B217" s="755" t="s">
        <v>857</v>
      </c>
      <c r="C217" s="1000" t="s">
        <v>862</v>
      </c>
      <c r="D217" s="1001"/>
      <c r="E217" s="1001"/>
      <c r="F217" s="1002"/>
      <c r="G217" s="458" t="s">
        <v>734</v>
      </c>
      <c r="H217" s="566">
        <f>H218</f>
        <v>13.32</v>
      </c>
      <c r="I217" s="568">
        <f>H218</f>
        <v>13.32</v>
      </c>
      <c r="J217" s="521"/>
      <c r="K217" s="521"/>
      <c r="N217" s="492"/>
      <c r="O217" s="492"/>
      <c r="P217" s="493"/>
      <c r="Q217" s="493"/>
      <c r="R217" s="493"/>
      <c r="S217" s="493"/>
    </row>
    <row r="218" spans="1:19" ht="21.75" hidden="1" customHeight="1">
      <c r="A218" s="74"/>
      <c r="B218" s="755"/>
      <c r="C218" s="579" t="s">
        <v>714</v>
      </c>
      <c r="D218" s="580">
        <f>H218</f>
        <v>13.32</v>
      </c>
      <c r="E218" s="581" t="s">
        <v>734</v>
      </c>
      <c r="F218" s="582"/>
      <c r="G218" s="458" t="s">
        <v>34</v>
      </c>
      <c r="H218" s="566">
        <f>18.5*0.6*1.2</f>
        <v>13.32</v>
      </c>
      <c r="I218" s="568" t="s">
        <v>34</v>
      </c>
      <c r="J218" s="521"/>
      <c r="K218" s="521"/>
      <c r="N218" s="492"/>
      <c r="O218" s="492"/>
      <c r="P218" s="493"/>
      <c r="Q218" s="493"/>
      <c r="R218" s="493"/>
      <c r="S218" s="493"/>
    </row>
    <row r="219" spans="1:19" ht="16.5" customHeight="1">
      <c r="A219" s="74">
        <v>47</v>
      </c>
      <c r="B219" s="755"/>
      <c r="C219" s="1000" t="s">
        <v>863</v>
      </c>
      <c r="D219" s="1001"/>
      <c r="E219" s="1001"/>
      <c r="F219" s="1002"/>
      <c r="G219" s="458" t="s">
        <v>734</v>
      </c>
      <c r="H219" s="566">
        <f>H220</f>
        <v>1.1100000000000001</v>
      </c>
      <c r="I219" s="568">
        <f>H220</f>
        <v>1.1100000000000001</v>
      </c>
      <c r="J219" s="521"/>
      <c r="K219" s="521"/>
      <c r="N219" s="492"/>
      <c r="O219" s="492"/>
      <c r="P219" s="493"/>
      <c r="Q219" s="493"/>
      <c r="R219" s="493"/>
      <c r="S219" s="493"/>
    </row>
    <row r="220" spans="1:19" ht="60.75" hidden="1" customHeight="1">
      <c r="A220" s="74"/>
      <c r="B220" s="755"/>
      <c r="C220" s="579" t="s">
        <v>714</v>
      </c>
      <c r="D220" s="580">
        <f>H220</f>
        <v>1.1100000000000001</v>
      </c>
      <c r="E220" s="581" t="s">
        <v>734</v>
      </c>
      <c r="F220" s="582"/>
      <c r="G220" s="458" t="s">
        <v>34</v>
      </c>
      <c r="H220" s="566">
        <f>18.5*0.6*0.1</f>
        <v>1.1100000000000001</v>
      </c>
      <c r="I220" s="568" t="s">
        <v>34</v>
      </c>
      <c r="J220" s="521"/>
      <c r="K220" s="521"/>
      <c r="L220" s="488"/>
      <c r="N220" s="494"/>
      <c r="O220" s="495"/>
      <c r="P220" s="496"/>
      <c r="Q220" s="494"/>
      <c r="R220" s="526"/>
      <c r="S220" s="526"/>
    </row>
    <row r="221" spans="1:19" ht="27.75" customHeight="1">
      <c r="A221" s="74">
        <v>48</v>
      </c>
      <c r="B221" s="755"/>
      <c r="C221" s="1000" t="s">
        <v>912</v>
      </c>
      <c r="D221" s="1001"/>
      <c r="E221" s="1001"/>
      <c r="F221" s="1002"/>
      <c r="G221" s="379" t="s">
        <v>11</v>
      </c>
      <c r="H221" s="83">
        <f>H222</f>
        <v>18.5</v>
      </c>
      <c r="I221" s="83" t="s">
        <v>34</v>
      </c>
      <c r="J221" s="521"/>
      <c r="K221" s="521"/>
      <c r="L221" s="488"/>
      <c r="N221" s="494"/>
      <c r="O221" s="495"/>
      <c r="P221" s="496"/>
      <c r="Q221" s="494"/>
      <c r="R221" s="526"/>
      <c r="S221" s="526"/>
    </row>
    <row r="222" spans="1:19" ht="20.25" hidden="1" customHeight="1">
      <c r="A222" s="74"/>
      <c r="B222" s="755"/>
      <c r="C222" s="583" t="s">
        <v>712</v>
      </c>
      <c r="D222" s="584">
        <v>18.5</v>
      </c>
      <c r="E222" s="581" t="s">
        <v>11</v>
      </c>
      <c r="F222" s="585" t="s">
        <v>715</v>
      </c>
      <c r="G222" s="379" t="s">
        <v>34</v>
      </c>
      <c r="H222" s="83">
        <f>D222</f>
        <v>18.5</v>
      </c>
      <c r="I222" s="83" t="s">
        <v>34</v>
      </c>
      <c r="J222" s="521"/>
      <c r="K222" s="521"/>
      <c r="N222" s="497"/>
      <c r="O222" s="498"/>
      <c r="P222" s="499"/>
      <c r="Q222" s="500"/>
      <c r="R222" s="547"/>
      <c r="S222" s="526"/>
    </row>
    <row r="223" spans="1:19" ht="30" customHeight="1">
      <c r="A223" s="74">
        <v>49</v>
      </c>
      <c r="B223" s="755"/>
      <c r="C223" s="1000" t="s">
        <v>864</v>
      </c>
      <c r="D223" s="1001"/>
      <c r="E223" s="1001"/>
      <c r="F223" s="1002"/>
      <c r="G223" s="458" t="s">
        <v>734</v>
      </c>
      <c r="H223" s="566">
        <f>H224</f>
        <v>11.1</v>
      </c>
      <c r="I223" s="568">
        <f>H224</f>
        <v>11.1</v>
      </c>
      <c r="J223" s="521"/>
      <c r="K223" s="521"/>
      <c r="N223" s="497"/>
      <c r="O223" s="498"/>
      <c r="P223" s="499"/>
      <c r="Q223" s="500"/>
      <c r="R223" s="547"/>
      <c r="S223" s="526"/>
    </row>
    <row r="224" spans="1:19" ht="15.75" hidden="1" customHeight="1">
      <c r="A224" s="74"/>
      <c r="B224" s="755"/>
      <c r="C224" s="579" t="s">
        <v>714</v>
      </c>
      <c r="D224" s="580">
        <f>H224</f>
        <v>11.1</v>
      </c>
      <c r="E224" s="581" t="s">
        <v>734</v>
      </c>
      <c r="F224" s="582"/>
      <c r="G224" s="458" t="s">
        <v>34</v>
      </c>
      <c r="H224" s="566">
        <f>18.5*0.6*1</f>
        <v>11.1</v>
      </c>
      <c r="I224" s="568" t="s">
        <v>34</v>
      </c>
      <c r="J224" s="521"/>
      <c r="K224" s="521"/>
      <c r="N224" s="497"/>
      <c r="O224" s="498"/>
      <c r="P224" s="501"/>
      <c r="Q224" s="502"/>
      <c r="R224" s="503"/>
      <c r="S224" s="570"/>
    </row>
    <row r="225" spans="1:19" ht="21" customHeight="1">
      <c r="A225" s="74">
        <v>50</v>
      </c>
      <c r="B225" s="755"/>
      <c r="C225" s="1000" t="s">
        <v>867</v>
      </c>
      <c r="D225" s="1001"/>
      <c r="E225" s="1001"/>
      <c r="F225" s="1002"/>
      <c r="G225" s="458" t="s">
        <v>859</v>
      </c>
      <c r="H225" s="566">
        <f>H226</f>
        <v>1</v>
      </c>
      <c r="I225" s="568">
        <f>H226</f>
        <v>1</v>
      </c>
      <c r="J225" s="521"/>
      <c r="K225" s="521"/>
      <c r="N225" s="494"/>
      <c r="O225" s="495"/>
      <c r="P225" s="496"/>
      <c r="Q225" s="494"/>
      <c r="R225" s="526"/>
      <c r="S225" s="526"/>
    </row>
    <row r="226" spans="1:19" ht="30" hidden="1" customHeight="1">
      <c r="A226" s="563"/>
      <c r="B226" s="755"/>
      <c r="C226" s="557" t="s">
        <v>717</v>
      </c>
      <c r="D226" s="558">
        <f>H226</f>
        <v>1</v>
      </c>
      <c r="E226" s="559" t="s">
        <v>626</v>
      </c>
      <c r="F226" s="560" t="s">
        <v>865</v>
      </c>
      <c r="G226" s="567" t="s">
        <v>34</v>
      </c>
      <c r="H226" s="568">
        <v>1</v>
      </c>
      <c r="I226" s="568" t="s">
        <v>34</v>
      </c>
      <c r="J226" s="521"/>
      <c r="K226" s="521"/>
      <c r="N226" s="494"/>
      <c r="O226" s="495"/>
      <c r="P226" s="496"/>
      <c r="Q226" s="494"/>
      <c r="R226" s="526"/>
      <c r="S226" s="526"/>
    </row>
    <row r="227" spans="1:19" ht="15.75">
      <c r="A227" s="837" t="s">
        <v>898</v>
      </c>
      <c r="B227" s="838"/>
      <c r="C227" s="838"/>
      <c r="D227" s="838"/>
      <c r="E227" s="838"/>
      <c r="F227" s="838"/>
      <c r="G227" s="838"/>
      <c r="H227" s="838"/>
      <c r="I227" s="838"/>
      <c r="J227" s="839"/>
      <c r="K227" s="445"/>
      <c r="L227" s="3"/>
    </row>
    <row r="228" spans="1:19" ht="15.75">
      <c r="A228" s="840" t="s">
        <v>899</v>
      </c>
      <c r="B228" s="841"/>
      <c r="C228" s="841"/>
      <c r="D228" s="841"/>
      <c r="E228" s="841"/>
      <c r="F228" s="841"/>
      <c r="G228" s="841"/>
      <c r="H228" s="841"/>
      <c r="I228" s="841"/>
      <c r="J228" s="842"/>
      <c r="K228" s="403"/>
      <c r="N228" s="494"/>
      <c r="O228" s="495"/>
      <c r="P228" s="496"/>
      <c r="Q228" s="494"/>
      <c r="R228" s="526"/>
      <c r="S228" s="526"/>
    </row>
    <row r="229" spans="1:19" ht="25.5" customHeight="1">
      <c r="A229" s="23" t="s">
        <v>639</v>
      </c>
      <c r="B229" s="761" t="s">
        <v>877</v>
      </c>
      <c r="C229" s="761"/>
      <c r="D229" s="761"/>
      <c r="E229" s="761"/>
      <c r="F229" s="761"/>
      <c r="G229" s="761"/>
      <c r="H229" s="761"/>
      <c r="I229" s="761"/>
      <c r="J229" s="761"/>
      <c r="K229" s="761"/>
      <c r="N229" s="494"/>
      <c r="O229" s="495"/>
      <c r="P229" s="496"/>
      <c r="Q229" s="494"/>
      <c r="R229" s="526"/>
      <c r="S229" s="526"/>
    </row>
    <row r="230" spans="1:19" ht="30" customHeight="1">
      <c r="A230" s="24" t="s">
        <v>861</v>
      </c>
      <c r="B230" s="21" t="s">
        <v>868</v>
      </c>
      <c r="C230" s="735" t="s">
        <v>878</v>
      </c>
      <c r="D230" s="735"/>
      <c r="E230" s="735"/>
      <c r="F230" s="735"/>
      <c r="G230" s="735"/>
      <c r="H230" s="735"/>
      <c r="I230" s="735"/>
      <c r="J230" s="735"/>
      <c r="K230" s="735"/>
      <c r="N230" s="494"/>
      <c r="O230" s="495"/>
      <c r="P230" s="496"/>
      <c r="Q230" s="494"/>
      <c r="R230" s="526"/>
      <c r="S230" s="526"/>
    </row>
    <row r="231" spans="1:19" ht="21" customHeight="1">
      <c r="A231" s="64" t="s">
        <v>34</v>
      </c>
      <c r="B231" s="577" t="s">
        <v>857</v>
      </c>
      <c r="C231" s="989" t="s">
        <v>883</v>
      </c>
      <c r="D231" s="990"/>
      <c r="E231" s="990"/>
      <c r="F231" s="990"/>
      <c r="G231" s="990"/>
      <c r="H231" s="990"/>
      <c r="I231" s="990"/>
      <c r="J231" s="990"/>
      <c r="K231" s="991"/>
      <c r="N231" s="494"/>
      <c r="O231" s="495"/>
      <c r="P231" s="496"/>
      <c r="Q231" s="494"/>
      <c r="R231" s="526"/>
      <c r="S231" s="526"/>
    </row>
    <row r="232" spans="1:19" ht="32.25" customHeight="1">
      <c r="A232" s="1006">
        <v>51</v>
      </c>
      <c r="B232" s="1008" t="s">
        <v>884</v>
      </c>
      <c r="C232" s="1000" t="s">
        <v>907</v>
      </c>
      <c r="D232" s="1001"/>
      <c r="E232" s="1001"/>
      <c r="F232" s="1002"/>
      <c r="G232" s="458" t="s">
        <v>9</v>
      </c>
      <c r="H232" s="586">
        <v>5</v>
      </c>
      <c r="I232" s="546">
        <f>H233</f>
        <v>5</v>
      </c>
      <c r="J232" s="521"/>
      <c r="K232" s="521"/>
      <c r="N232" s="494"/>
      <c r="O232" s="495"/>
      <c r="P232" s="496"/>
      <c r="Q232" s="494"/>
      <c r="R232" s="526"/>
      <c r="S232" s="526"/>
    </row>
    <row r="233" spans="1:19" ht="17.25" hidden="1" customHeight="1">
      <c r="A233" s="1007"/>
      <c r="B233" s="1009"/>
      <c r="C233" s="588" t="s">
        <v>717</v>
      </c>
      <c r="D233" s="589">
        <v>5</v>
      </c>
      <c r="E233" s="504" t="s">
        <v>9</v>
      </c>
      <c r="F233" s="585" t="s">
        <v>715</v>
      </c>
      <c r="G233" s="458" t="s">
        <v>34</v>
      </c>
      <c r="H233" s="566">
        <f>D233</f>
        <v>5</v>
      </c>
      <c r="I233" s="568" t="s">
        <v>34</v>
      </c>
      <c r="J233" s="521"/>
      <c r="K233" s="521"/>
      <c r="N233" s="494"/>
      <c r="O233" s="495"/>
      <c r="P233" s="496"/>
      <c r="Q233" s="494"/>
      <c r="R233" s="526"/>
      <c r="S233" s="526"/>
    </row>
    <row r="234" spans="1:19" ht="22.5" hidden="1" customHeight="1">
      <c r="A234" s="1006"/>
      <c r="B234" s="1008" t="s">
        <v>885</v>
      </c>
      <c r="C234" s="1010" t="s">
        <v>879</v>
      </c>
      <c r="D234" s="1010"/>
      <c r="E234" s="1010"/>
      <c r="F234" s="1010"/>
      <c r="G234" s="458" t="s">
        <v>9</v>
      </c>
      <c r="H234" s="566" t="s">
        <v>34</v>
      </c>
      <c r="I234" s="568">
        <f>H235</f>
        <v>5</v>
      </c>
      <c r="J234" s="521"/>
      <c r="K234" s="521"/>
      <c r="N234" s="494"/>
      <c r="O234" s="495"/>
      <c r="P234" s="496"/>
      <c r="Q234" s="494"/>
      <c r="R234" s="526"/>
      <c r="S234" s="526"/>
    </row>
    <row r="235" spans="1:19" ht="21.75" hidden="1" customHeight="1">
      <c r="A235" s="1007"/>
      <c r="B235" s="1009"/>
      <c r="C235" s="588" t="s">
        <v>717</v>
      </c>
      <c r="D235" s="589">
        <v>5</v>
      </c>
      <c r="E235" s="504" t="s">
        <v>9</v>
      </c>
      <c r="F235" s="590"/>
      <c r="G235" s="458" t="s">
        <v>34</v>
      </c>
      <c r="H235" s="566">
        <f>D235</f>
        <v>5</v>
      </c>
      <c r="I235" s="568" t="s">
        <v>34</v>
      </c>
      <c r="J235" s="521"/>
      <c r="K235" s="521"/>
      <c r="N235" s="494"/>
      <c r="O235" s="495"/>
      <c r="P235" s="496"/>
      <c r="Q235" s="494"/>
      <c r="R235" s="526"/>
      <c r="S235" s="526"/>
    </row>
    <row r="236" spans="1:19" ht="35.25" customHeight="1">
      <c r="A236" s="1006">
        <v>52</v>
      </c>
      <c r="B236" s="1008" t="s">
        <v>886</v>
      </c>
      <c r="C236" s="1010" t="s">
        <v>908</v>
      </c>
      <c r="D236" s="1010"/>
      <c r="E236" s="1010"/>
      <c r="F236" s="1010"/>
      <c r="G236" s="458" t="s">
        <v>11</v>
      </c>
      <c r="H236" s="566">
        <f>H237</f>
        <v>718</v>
      </c>
      <c r="I236" s="568">
        <f>H237</f>
        <v>718</v>
      </c>
      <c r="J236" s="521"/>
      <c r="K236" s="521"/>
      <c r="N236" s="494"/>
      <c r="O236" s="495"/>
      <c r="P236" s="496"/>
      <c r="Q236" s="494"/>
      <c r="R236" s="526"/>
      <c r="S236" s="526"/>
    </row>
    <row r="237" spans="1:19" ht="23.25" hidden="1" customHeight="1">
      <c r="A237" s="1007"/>
      <c r="B237" s="1009"/>
      <c r="C237" s="591" t="s">
        <v>712</v>
      </c>
      <c r="D237" s="589">
        <v>718</v>
      </c>
      <c r="E237" s="504" t="s">
        <v>11</v>
      </c>
      <c r="F237" s="585" t="s">
        <v>893</v>
      </c>
      <c r="G237" s="458" t="s">
        <v>34</v>
      </c>
      <c r="H237" s="566">
        <f>D237</f>
        <v>718</v>
      </c>
      <c r="I237" s="568" t="s">
        <v>34</v>
      </c>
      <c r="J237" s="521"/>
      <c r="K237" s="521"/>
      <c r="N237" s="494"/>
      <c r="O237" s="495"/>
      <c r="P237" s="496"/>
      <c r="Q237" s="494"/>
      <c r="R237" s="526"/>
      <c r="S237" s="526"/>
    </row>
    <row r="238" spans="1:19" ht="21.75" customHeight="1">
      <c r="A238" s="1006">
        <v>53</v>
      </c>
      <c r="B238" s="1008" t="s">
        <v>887</v>
      </c>
      <c r="C238" s="1000" t="s">
        <v>909</v>
      </c>
      <c r="D238" s="1001"/>
      <c r="E238" s="1001"/>
      <c r="F238" s="1002"/>
      <c r="G238" s="458" t="s">
        <v>11</v>
      </c>
      <c r="H238" s="566">
        <f>H239</f>
        <v>285</v>
      </c>
      <c r="I238" s="568">
        <f>H239</f>
        <v>285</v>
      </c>
      <c r="J238" s="521"/>
      <c r="K238" s="521"/>
      <c r="N238" s="494"/>
      <c r="O238" s="495"/>
      <c r="P238" s="496"/>
      <c r="Q238" s="494"/>
      <c r="R238" s="526"/>
      <c r="S238" s="526"/>
    </row>
    <row r="239" spans="1:19" ht="26.25" hidden="1" customHeight="1">
      <c r="A239" s="1007"/>
      <c r="B239" s="1009"/>
      <c r="C239" s="591" t="s">
        <v>712</v>
      </c>
      <c r="D239" s="589">
        <f>4+16+7+2+9+8+12+11+9+11+8+2+13+10+13+25+20+9+3+3+4+16+3+2*19+19+10</f>
        <v>285</v>
      </c>
      <c r="E239" s="504" t="s">
        <v>11</v>
      </c>
      <c r="F239" s="585" t="s">
        <v>893</v>
      </c>
      <c r="G239" s="458" t="s">
        <v>34</v>
      </c>
      <c r="H239" s="566">
        <f>D239</f>
        <v>285</v>
      </c>
      <c r="I239" s="568" t="s">
        <v>34</v>
      </c>
      <c r="J239" s="521"/>
      <c r="K239" s="521"/>
      <c r="N239" s="494"/>
      <c r="O239" s="495"/>
      <c r="P239" s="496"/>
      <c r="Q239" s="494"/>
      <c r="R239" s="526"/>
      <c r="S239" s="526"/>
    </row>
    <row r="240" spans="1:19" ht="25.5" hidden="1" customHeight="1">
      <c r="A240" s="1006"/>
      <c r="B240" s="1008" t="s">
        <v>888</v>
      </c>
      <c r="C240" s="1000" t="s">
        <v>880</v>
      </c>
      <c r="D240" s="1001"/>
      <c r="E240" s="1001"/>
      <c r="F240" s="1002"/>
      <c r="G240" s="458" t="s">
        <v>11</v>
      </c>
      <c r="H240" s="566" t="s">
        <v>34</v>
      </c>
      <c r="I240" s="568">
        <f>H241</f>
        <v>718</v>
      </c>
      <c r="J240" s="521"/>
      <c r="K240" s="521"/>
      <c r="N240" s="494"/>
      <c r="O240" s="495"/>
      <c r="P240" s="496"/>
      <c r="Q240" s="494"/>
      <c r="R240" s="526"/>
      <c r="S240" s="526"/>
    </row>
    <row r="241" spans="1:19" ht="24" hidden="1" customHeight="1">
      <c r="A241" s="1007"/>
      <c r="B241" s="1009"/>
      <c r="C241" s="591" t="s">
        <v>712</v>
      </c>
      <c r="D241" s="589">
        <v>718</v>
      </c>
      <c r="E241" s="504" t="s">
        <v>11</v>
      </c>
      <c r="F241" s="585" t="s">
        <v>893</v>
      </c>
      <c r="G241" s="458" t="s">
        <v>34</v>
      </c>
      <c r="H241" s="566">
        <f>D241</f>
        <v>718</v>
      </c>
      <c r="I241" s="568" t="s">
        <v>34</v>
      </c>
      <c r="J241" s="521"/>
      <c r="K241" s="521"/>
      <c r="N241" s="494"/>
      <c r="O241" s="495"/>
      <c r="P241" s="496"/>
      <c r="Q241" s="494"/>
      <c r="R241" s="526"/>
      <c r="S241" s="526"/>
    </row>
    <row r="242" spans="1:19" ht="23.25" hidden="1" customHeight="1">
      <c r="A242" s="1006"/>
      <c r="B242" s="1008" t="s">
        <v>888</v>
      </c>
      <c r="C242" s="1000" t="s">
        <v>892</v>
      </c>
      <c r="D242" s="1001"/>
      <c r="E242" s="1001"/>
      <c r="F242" s="1002"/>
      <c r="G242" s="458" t="s">
        <v>11</v>
      </c>
      <c r="H242" s="566" t="s">
        <v>34</v>
      </c>
      <c r="I242" s="568">
        <f>H243</f>
        <v>1436</v>
      </c>
      <c r="J242" s="521"/>
      <c r="K242" s="521"/>
      <c r="N242" s="494"/>
      <c r="O242" s="495"/>
      <c r="P242" s="496"/>
      <c r="Q242" s="494"/>
      <c r="R242" s="526"/>
      <c r="S242" s="526"/>
    </row>
    <row r="243" spans="1:19" ht="26.25" hidden="1" customHeight="1">
      <c r="A243" s="1007"/>
      <c r="B243" s="1009"/>
      <c r="C243" s="591" t="s">
        <v>712</v>
      </c>
      <c r="D243" s="589">
        <f>718*2</f>
        <v>1436</v>
      </c>
      <c r="E243" s="504" t="s">
        <v>11</v>
      </c>
      <c r="F243" s="585" t="s">
        <v>893</v>
      </c>
      <c r="G243" s="458" t="s">
        <v>34</v>
      </c>
      <c r="H243" s="566">
        <f>D243</f>
        <v>1436</v>
      </c>
      <c r="I243" s="568" t="s">
        <v>34</v>
      </c>
      <c r="J243" s="521"/>
      <c r="K243" s="521"/>
      <c r="N243" s="494"/>
      <c r="O243" s="495"/>
      <c r="P243" s="496"/>
      <c r="Q243" s="494"/>
      <c r="R243" s="526"/>
      <c r="S243" s="526"/>
    </row>
    <row r="244" spans="1:19" ht="21.75" customHeight="1">
      <c r="A244" s="1006">
        <v>54</v>
      </c>
      <c r="B244" s="1008" t="s">
        <v>889</v>
      </c>
      <c r="C244" s="1000" t="s">
        <v>881</v>
      </c>
      <c r="D244" s="1001"/>
      <c r="E244" s="1001"/>
      <c r="F244" s="1002"/>
      <c r="G244" s="458" t="s">
        <v>9</v>
      </c>
      <c r="H244" s="566">
        <f>H245</f>
        <v>10</v>
      </c>
      <c r="I244" s="568">
        <f>H245</f>
        <v>10</v>
      </c>
      <c r="J244" s="521"/>
      <c r="K244" s="521"/>
      <c r="N244" s="494"/>
      <c r="O244" s="495"/>
      <c r="P244" s="496"/>
      <c r="Q244" s="494"/>
      <c r="R244" s="526"/>
      <c r="S244" s="526"/>
    </row>
    <row r="245" spans="1:19" ht="21.75" hidden="1" customHeight="1">
      <c r="A245" s="1007"/>
      <c r="B245" s="1009"/>
      <c r="C245" s="588" t="s">
        <v>717</v>
      </c>
      <c r="D245" s="589">
        <v>10</v>
      </c>
      <c r="E245" s="504" t="s">
        <v>9</v>
      </c>
      <c r="F245" s="585" t="s">
        <v>893</v>
      </c>
      <c r="G245" s="458" t="s">
        <v>34</v>
      </c>
      <c r="H245" s="566">
        <f>D245</f>
        <v>10</v>
      </c>
      <c r="I245" s="568" t="s">
        <v>34</v>
      </c>
      <c r="J245" s="521"/>
      <c r="K245" s="521"/>
      <c r="N245" s="494"/>
      <c r="O245" s="495"/>
      <c r="P245" s="496"/>
      <c r="Q245" s="494"/>
      <c r="R245" s="526"/>
      <c r="S245" s="526"/>
    </row>
    <row r="246" spans="1:19" ht="19.5" hidden="1" customHeight="1">
      <c r="A246" s="1006"/>
      <c r="B246" s="1008" t="s">
        <v>888</v>
      </c>
      <c r="C246" s="1000" t="s">
        <v>894</v>
      </c>
      <c r="D246" s="1001"/>
      <c r="E246" s="1001"/>
      <c r="F246" s="1002"/>
      <c r="G246" s="458" t="s">
        <v>11</v>
      </c>
      <c r="H246" s="566" t="s">
        <v>34</v>
      </c>
      <c r="I246" s="568">
        <f>H247</f>
        <v>718</v>
      </c>
      <c r="J246" s="521"/>
      <c r="K246" s="521"/>
      <c r="N246" s="494"/>
      <c r="O246" s="495"/>
      <c r="P246" s="496"/>
      <c r="Q246" s="494"/>
      <c r="R246" s="526"/>
      <c r="S246" s="526"/>
    </row>
    <row r="247" spans="1:19" ht="21" hidden="1" customHeight="1">
      <c r="A247" s="1007"/>
      <c r="B247" s="1009"/>
      <c r="C247" s="591" t="s">
        <v>712</v>
      </c>
      <c r="D247" s="589">
        <v>718</v>
      </c>
      <c r="E247" s="504" t="s">
        <v>11</v>
      </c>
      <c r="F247" s="585" t="s">
        <v>893</v>
      </c>
      <c r="G247" s="458" t="s">
        <v>34</v>
      </c>
      <c r="H247" s="566">
        <f>D247</f>
        <v>718</v>
      </c>
      <c r="I247" s="568" t="s">
        <v>34</v>
      </c>
      <c r="J247" s="521"/>
      <c r="K247" s="521"/>
      <c r="N247" s="494"/>
      <c r="O247" s="495"/>
      <c r="P247" s="496"/>
      <c r="Q247" s="494"/>
      <c r="R247" s="526"/>
      <c r="S247" s="526"/>
    </row>
    <row r="248" spans="1:19" ht="33" customHeight="1">
      <c r="A248" s="1006">
        <v>55</v>
      </c>
      <c r="B248" s="1008" t="s">
        <v>890</v>
      </c>
      <c r="C248" s="1000" t="s">
        <v>895</v>
      </c>
      <c r="D248" s="1001"/>
      <c r="E248" s="1001"/>
      <c r="F248" s="1002"/>
      <c r="G248" s="458" t="s">
        <v>859</v>
      </c>
      <c r="H248" s="566">
        <f>H249</f>
        <v>1</v>
      </c>
      <c r="I248" s="568">
        <f>H249</f>
        <v>1</v>
      </c>
      <c r="J248" s="521"/>
      <c r="K248" s="521"/>
      <c r="N248" s="494"/>
      <c r="O248" s="495"/>
      <c r="P248" s="496"/>
      <c r="Q248" s="494"/>
      <c r="R248" s="526"/>
      <c r="S248" s="526"/>
    </row>
    <row r="249" spans="1:19" ht="21" hidden="1" customHeight="1">
      <c r="A249" s="1007"/>
      <c r="B249" s="1009"/>
      <c r="C249" s="591" t="s">
        <v>717</v>
      </c>
      <c r="D249" s="589">
        <v>1</v>
      </c>
      <c r="E249" s="504" t="s">
        <v>626</v>
      </c>
      <c r="F249" s="585"/>
      <c r="G249" s="458" t="s">
        <v>34</v>
      </c>
      <c r="H249" s="566">
        <f>D249</f>
        <v>1</v>
      </c>
      <c r="I249" s="568" t="s">
        <v>34</v>
      </c>
      <c r="J249" s="521"/>
      <c r="K249" s="521"/>
      <c r="N249" s="494"/>
      <c r="O249" s="495"/>
      <c r="P249" s="496"/>
      <c r="Q249" s="494"/>
      <c r="R249" s="526"/>
      <c r="S249" s="526"/>
    </row>
    <row r="250" spans="1:19" ht="15.75">
      <c r="A250" s="837" t="s">
        <v>902</v>
      </c>
      <c r="B250" s="838"/>
      <c r="C250" s="838"/>
      <c r="D250" s="838"/>
      <c r="E250" s="838"/>
      <c r="F250" s="838"/>
      <c r="G250" s="838"/>
      <c r="H250" s="838"/>
      <c r="I250" s="838"/>
      <c r="J250" s="839"/>
      <c r="K250" s="445"/>
      <c r="L250" s="3"/>
    </row>
    <row r="251" spans="1:19" ht="33" customHeight="1">
      <c r="A251" s="24" t="s">
        <v>188</v>
      </c>
      <c r="B251" s="21" t="s">
        <v>868</v>
      </c>
      <c r="C251" s="880" t="s">
        <v>891</v>
      </c>
      <c r="D251" s="881"/>
      <c r="E251" s="881"/>
      <c r="F251" s="881"/>
      <c r="G251" s="881"/>
      <c r="H251" s="881"/>
      <c r="I251" s="881"/>
      <c r="J251" s="881"/>
      <c r="K251" s="882"/>
      <c r="N251" s="494"/>
      <c r="O251" s="495"/>
      <c r="P251" s="496"/>
      <c r="Q251" s="494"/>
      <c r="R251" s="526"/>
      <c r="S251" s="526"/>
    </row>
    <row r="252" spans="1:19" ht="17.25" customHeight="1">
      <c r="A252" s="64" t="s">
        <v>34</v>
      </c>
      <c r="B252" s="562" t="s">
        <v>869</v>
      </c>
      <c r="C252" s="989" t="s">
        <v>870</v>
      </c>
      <c r="D252" s="990"/>
      <c r="E252" s="990"/>
      <c r="F252" s="990"/>
      <c r="G252" s="990"/>
      <c r="H252" s="990"/>
      <c r="I252" s="990"/>
      <c r="J252" s="990"/>
      <c r="K252" s="991"/>
      <c r="N252" s="494"/>
      <c r="O252" s="495"/>
      <c r="P252" s="496"/>
      <c r="Q252" s="494"/>
      <c r="R252" s="526"/>
      <c r="S252" s="526"/>
    </row>
    <row r="253" spans="1:19" ht="18.75" customHeight="1">
      <c r="A253" s="74">
        <v>56</v>
      </c>
      <c r="B253" s="755" t="s">
        <v>869</v>
      </c>
      <c r="C253" s="1000" t="s">
        <v>862</v>
      </c>
      <c r="D253" s="1001"/>
      <c r="E253" s="1001"/>
      <c r="F253" s="1002"/>
      <c r="G253" s="458" t="s">
        <v>734</v>
      </c>
      <c r="H253" s="566">
        <f>H254</f>
        <v>54</v>
      </c>
      <c r="I253" s="568">
        <f>H254</f>
        <v>54</v>
      </c>
      <c r="J253" s="521"/>
      <c r="K253" s="521"/>
      <c r="N253" s="494"/>
      <c r="O253" s="495"/>
      <c r="P253" s="496"/>
      <c r="Q253" s="494"/>
      <c r="R253" s="526"/>
      <c r="S253" s="526"/>
    </row>
    <row r="254" spans="1:19" ht="21" hidden="1" customHeight="1">
      <c r="A254" s="74"/>
      <c r="B254" s="755"/>
      <c r="C254" s="579" t="s">
        <v>714</v>
      </c>
      <c r="D254" s="589">
        <f>H254</f>
        <v>54</v>
      </c>
      <c r="E254" s="581" t="s">
        <v>734</v>
      </c>
      <c r="F254" s="582"/>
      <c r="G254" s="458" t="s">
        <v>34</v>
      </c>
      <c r="H254" s="566">
        <f>H258*0.6*1.2</f>
        <v>54</v>
      </c>
      <c r="I254" s="568" t="s">
        <v>34</v>
      </c>
      <c r="J254" s="521"/>
      <c r="K254" s="521"/>
      <c r="N254" s="494"/>
      <c r="O254" s="495"/>
      <c r="P254" s="496"/>
      <c r="Q254" s="494"/>
      <c r="R254" s="526"/>
      <c r="S254" s="526"/>
    </row>
    <row r="255" spans="1:19" ht="34.5" customHeight="1">
      <c r="A255" s="74">
        <v>57</v>
      </c>
      <c r="B255" s="755"/>
      <c r="C255" s="1000" t="s">
        <v>863</v>
      </c>
      <c r="D255" s="1001"/>
      <c r="E255" s="1001"/>
      <c r="F255" s="1002"/>
      <c r="G255" s="458" t="s">
        <v>734</v>
      </c>
      <c r="H255" s="566">
        <f>H256</f>
        <v>4.5</v>
      </c>
      <c r="I255" s="568">
        <f>H256</f>
        <v>4.5</v>
      </c>
      <c r="J255" s="521"/>
      <c r="K255" s="521"/>
      <c r="N255" s="494"/>
      <c r="O255" s="495"/>
      <c r="P255" s="496"/>
      <c r="Q255" s="494"/>
      <c r="R255" s="526"/>
      <c r="S255" s="526"/>
    </row>
    <row r="256" spans="1:19" ht="18.75" hidden="1" customHeight="1">
      <c r="A256" s="74"/>
      <c r="B256" s="755"/>
      <c r="C256" s="579" t="s">
        <v>714</v>
      </c>
      <c r="D256" s="589">
        <f>H256</f>
        <v>4.5</v>
      </c>
      <c r="E256" s="581" t="s">
        <v>734</v>
      </c>
      <c r="F256" s="582"/>
      <c r="G256" s="458" t="s">
        <v>34</v>
      </c>
      <c r="H256" s="566">
        <f>H258*0.6*0.1</f>
        <v>4.5</v>
      </c>
      <c r="I256" s="568" t="s">
        <v>34</v>
      </c>
      <c r="J256" s="521"/>
      <c r="K256" s="521"/>
      <c r="N256" s="494"/>
      <c r="O256" s="495"/>
      <c r="P256" s="496"/>
      <c r="Q256" s="494"/>
      <c r="R256" s="526"/>
      <c r="S256" s="526"/>
    </row>
    <row r="257" spans="1:19" ht="30.75" customHeight="1">
      <c r="A257" s="74">
        <v>58</v>
      </c>
      <c r="B257" s="755"/>
      <c r="C257" s="1000" t="s">
        <v>871</v>
      </c>
      <c r="D257" s="1001"/>
      <c r="E257" s="1001"/>
      <c r="F257" s="1002"/>
      <c r="G257" s="379" t="s">
        <v>11</v>
      </c>
      <c r="H257" s="83">
        <f>H258</f>
        <v>75</v>
      </c>
      <c r="I257" s="103">
        <f>H258</f>
        <v>75</v>
      </c>
      <c r="J257" s="521"/>
      <c r="K257" s="521"/>
      <c r="N257" s="494"/>
      <c r="O257" s="495"/>
      <c r="P257" s="496"/>
      <c r="Q257" s="494"/>
      <c r="R257" s="526"/>
      <c r="S257" s="526"/>
    </row>
    <row r="258" spans="1:19" ht="18.75" hidden="1" customHeight="1">
      <c r="A258" s="74"/>
      <c r="B258" s="755"/>
      <c r="C258" s="583" t="s">
        <v>712</v>
      </c>
      <c r="D258" s="589">
        <v>75</v>
      </c>
      <c r="E258" s="581" t="s">
        <v>11</v>
      </c>
      <c r="F258" s="585" t="s">
        <v>715</v>
      </c>
      <c r="G258" s="379" t="s">
        <v>34</v>
      </c>
      <c r="H258" s="83">
        <f>D258</f>
        <v>75</v>
      </c>
      <c r="I258" s="83" t="s">
        <v>34</v>
      </c>
      <c r="J258" s="521"/>
      <c r="K258" s="521"/>
      <c r="N258" s="494"/>
      <c r="O258" s="495"/>
      <c r="P258" s="496"/>
      <c r="Q258" s="494"/>
      <c r="R258" s="526"/>
      <c r="S258" s="526"/>
    </row>
    <row r="259" spans="1:19" ht="17.25" customHeight="1">
      <c r="A259" s="74">
        <v>59</v>
      </c>
      <c r="B259" s="755"/>
      <c r="C259" s="1000" t="s">
        <v>864</v>
      </c>
      <c r="D259" s="1001"/>
      <c r="E259" s="1001"/>
      <c r="F259" s="1002"/>
      <c r="G259" s="458" t="s">
        <v>734</v>
      </c>
      <c r="H259" s="566">
        <f>H260</f>
        <v>45</v>
      </c>
      <c r="I259" s="568">
        <f>H260</f>
        <v>45</v>
      </c>
      <c r="J259" s="521"/>
      <c r="K259" s="521"/>
      <c r="N259" s="494"/>
      <c r="O259" s="495"/>
      <c r="P259" s="496"/>
      <c r="Q259" s="494"/>
      <c r="R259" s="526"/>
      <c r="S259" s="526"/>
    </row>
    <row r="260" spans="1:19" ht="16.5" hidden="1" customHeight="1">
      <c r="A260" s="74"/>
      <c r="B260" s="755"/>
      <c r="C260" s="579" t="s">
        <v>714</v>
      </c>
      <c r="D260" s="589">
        <f>H260</f>
        <v>45</v>
      </c>
      <c r="E260" s="581" t="s">
        <v>734</v>
      </c>
      <c r="F260" s="582"/>
      <c r="G260" s="458" t="s">
        <v>34</v>
      </c>
      <c r="H260" s="566">
        <f>H258*0.6*1</f>
        <v>45</v>
      </c>
      <c r="I260" s="568" t="s">
        <v>34</v>
      </c>
      <c r="J260" s="521"/>
      <c r="K260" s="521"/>
      <c r="N260" s="494"/>
      <c r="O260" s="495"/>
      <c r="P260" s="496"/>
      <c r="Q260" s="494"/>
      <c r="R260" s="526"/>
      <c r="S260" s="526"/>
    </row>
    <row r="261" spans="1:19" ht="30.75" customHeight="1">
      <c r="A261" s="74">
        <v>60</v>
      </c>
      <c r="B261" s="755"/>
      <c r="C261" s="1000" t="s">
        <v>867</v>
      </c>
      <c r="D261" s="1001"/>
      <c r="E261" s="1001"/>
      <c r="F261" s="1002"/>
      <c r="G261" s="458" t="s">
        <v>859</v>
      </c>
      <c r="H261" s="566">
        <f>H262</f>
        <v>1</v>
      </c>
      <c r="I261" s="568">
        <f>H262</f>
        <v>1</v>
      </c>
      <c r="J261" s="521"/>
      <c r="K261" s="521"/>
      <c r="N261" s="494"/>
      <c r="O261" s="495"/>
      <c r="P261" s="496"/>
      <c r="Q261" s="494"/>
      <c r="R261" s="526"/>
      <c r="S261" s="526"/>
    </row>
    <row r="262" spans="1:19" ht="70.5" hidden="1" customHeight="1">
      <c r="A262" s="563"/>
      <c r="B262" s="755"/>
      <c r="C262" s="557" t="s">
        <v>717</v>
      </c>
      <c r="D262" s="558">
        <f>H262</f>
        <v>1</v>
      </c>
      <c r="E262" s="559" t="s">
        <v>626</v>
      </c>
      <c r="F262" s="560" t="s">
        <v>865</v>
      </c>
      <c r="G262" s="567" t="s">
        <v>34</v>
      </c>
      <c r="H262" s="568">
        <v>1</v>
      </c>
      <c r="I262" s="568" t="s">
        <v>34</v>
      </c>
      <c r="J262" s="521"/>
      <c r="K262" s="521"/>
      <c r="N262" s="494"/>
      <c r="O262" s="495"/>
      <c r="P262" s="496"/>
      <c r="Q262" s="494"/>
      <c r="R262" s="526"/>
      <c r="S262" s="526"/>
    </row>
    <row r="263" spans="1:19" ht="15.75" customHeight="1">
      <c r="A263" s="837" t="s">
        <v>903</v>
      </c>
      <c r="B263" s="838"/>
      <c r="C263" s="838"/>
      <c r="D263" s="838"/>
      <c r="E263" s="838"/>
      <c r="F263" s="838"/>
      <c r="G263" s="838"/>
      <c r="H263" s="838"/>
      <c r="I263" s="838"/>
      <c r="J263" s="839"/>
      <c r="K263" s="445"/>
      <c r="L263" s="3"/>
    </row>
    <row r="264" spans="1:19" ht="15.75">
      <c r="A264" s="840" t="s">
        <v>900</v>
      </c>
      <c r="B264" s="841"/>
      <c r="C264" s="841"/>
      <c r="D264" s="841"/>
      <c r="E264" s="841"/>
      <c r="F264" s="841"/>
      <c r="G264" s="841"/>
      <c r="H264" s="841"/>
      <c r="I264" s="841"/>
      <c r="J264" s="842"/>
      <c r="K264" s="403"/>
      <c r="N264" s="494"/>
      <c r="O264" s="495"/>
      <c r="P264" s="496"/>
      <c r="Q264" s="494"/>
      <c r="R264" s="526"/>
      <c r="S264" s="526"/>
    </row>
    <row r="265" spans="1:19" ht="21" customHeight="1">
      <c r="A265" s="23" t="s">
        <v>866</v>
      </c>
      <c r="B265" s="761" t="s">
        <v>860</v>
      </c>
      <c r="C265" s="761"/>
      <c r="D265" s="761"/>
      <c r="E265" s="761"/>
      <c r="F265" s="761"/>
      <c r="G265" s="761"/>
      <c r="H265" s="761"/>
      <c r="I265" s="761"/>
      <c r="J265" s="761"/>
      <c r="K265" s="761"/>
      <c r="N265" s="494"/>
      <c r="O265" s="495"/>
      <c r="P265" s="496"/>
      <c r="Q265" s="494"/>
      <c r="R265" s="526"/>
      <c r="S265" s="526"/>
    </row>
    <row r="266" spans="1:19" ht="67.5" customHeight="1">
      <c r="A266" s="24" t="s">
        <v>904</v>
      </c>
      <c r="B266" s="21" t="s">
        <v>873</v>
      </c>
      <c r="C266" s="735" t="s">
        <v>872</v>
      </c>
      <c r="D266" s="735"/>
      <c r="E266" s="735"/>
      <c r="F266" s="735"/>
      <c r="G266" s="735"/>
      <c r="H266" s="735"/>
      <c r="I266" s="735"/>
      <c r="J266" s="735"/>
      <c r="K266" s="735"/>
      <c r="N266" s="494"/>
      <c r="O266" s="495"/>
      <c r="P266" s="496"/>
      <c r="Q266" s="494"/>
      <c r="R266" s="526"/>
      <c r="S266" s="526"/>
    </row>
    <row r="267" spans="1:19" ht="21" customHeight="1">
      <c r="A267" s="64" t="s">
        <v>34</v>
      </c>
      <c r="B267" s="577" t="s">
        <v>869</v>
      </c>
      <c r="C267" s="989" t="s">
        <v>896</v>
      </c>
      <c r="D267" s="990"/>
      <c r="E267" s="990"/>
      <c r="F267" s="990"/>
      <c r="G267" s="990"/>
      <c r="H267" s="990"/>
      <c r="I267" s="990"/>
      <c r="J267" s="990"/>
      <c r="K267" s="991"/>
      <c r="N267" s="494"/>
      <c r="O267" s="495"/>
      <c r="P267" s="496"/>
      <c r="Q267" s="494"/>
      <c r="R267" s="526"/>
      <c r="S267" s="526"/>
    </row>
    <row r="268" spans="1:19" ht="46.5" customHeight="1">
      <c r="A268" s="74">
        <v>61</v>
      </c>
      <c r="B268" s="846" t="s">
        <v>911</v>
      </c>
      <c r="C268" s="1000" t="s">
        <v>874</v>
      </c>
      <c r="D268" s="1001"/>
      <c r="E268" s="1001"/>
      <c r="F268" s="1002"/>
      <c r="G268" s="458" t="s">
        <v>734</v>
      </c>
      <c r="H268" s="566">
        <f>H269</f>
        <v>4.32</v>
      </c>
      <c r="I268" s="568">
        <f>H269</f>
        <v>4.32</v>
      </c>
      <c r="J268" s="521"/>
      <c r="K268" s="521"/>
      <c r="N268" s="494"/>
      <c r="O268" s="495"/>
      <c r="P268" s="496"/>
      <c r="Q268" s="494"/>
      <c r="R268" s="526"/>
      <c r="S268" s="526"/>
    </row>
    <row r="269" spans="1:19" ht="21" hidden="1" customHeight="1">
      <c r="A269" s="74"/>
      <c r="B269" s="910"/>
      <c r="C269" s="579" t="s">
        <v>714</v>
      </c>
      <c r="D269" s="589">
        <f>H269</f>
        <v>4.32</v>
      </c>
      <c r="E269" s="581" t="s">
        <v>734</v>
      </c>
      <c r="F269" s="582"/>
      <c r="G269" s="458" t="s">
        <v>34</v>
      </c>
      <c r="H269" s="566">
        <f>H273*0.6*1.2</f>
        <v>4.32</v>
      </c>
      <c r="I269" s="568" t="s">
        <v>34</v>
      </c>
      <c r="J269" s="521"/>
      <c r="K269" s="521"/>
      <c r="N269" s="494"/>
      <c r="O269" s="495"/>
      <c r="P269" s="496"/>
      <c r="Q269" s="494"/>
      <c r="R269" s="526"/>
      <c r="S269" s="526"/>
    </row>
    <row r="270" spans="1:19" ht="18" customHeight="1">
      <c r="A270" s="74">
        <v>62</v>
      </c>
      <c r="B270" s="910"/>
      <c r="C270" s="1000" t="s">
        <v>875</v>
      </c>
      <c r="D270" s="1001"/>
      <c r="E270" s="1001"/>
      <c r="F270" s="1002"/>
      <c r="G270" s="458" t="s">
        <v>734</v>
      </c>
      <c r="H270" s="566">
        <f>H271</f>
        <v>0.72</v>
      </c>
      <c r="I270" s="568">
        <f>H271</f>
        <v>0.72</v>
      </c>
      <c r="J270" s="521"/>
      <c r="K270" s="521"/>
      <c r="N270" s="494"/>
      <c r="O270" s="495"/>
      <c r="P270" s="496"/>
      <c r="Q270" s="494"/>
      <c r="R270" s="526"/>
      <c r="S270" s="526"/>
    </row>
    <row r="271" spans="1:19" ht="21" hidden="1" customHeight="1">
      <c r="A271" s="74"/>
      <c r="B271" s="910"/>
      <c r="C271" s="579" t="s">
        <v>714</v>
      </c>
      <c r="D271" s="589">
        <f>H271</f>
        <v>0.72</v>
      </c>
      <c r="E271" s="581" t="s">
        <v>734</v>
      </c>
      <c r="F271" s="582"/>
      <c r="G271" s="458" t="s">
        <v>34</v>
      </c>
      <c r="H271" s="566">
        <f>H273*0.6*0.2</f>
        <v>0.72</v>
      </c>
      <c r="I271" s="568" t="s">
        <v>34</v>
      </c>
      <c r="J271" s="521"/>
      <c r="K271" s="521"/>
      <c r="N271" s="494"/>
      <c r="O271" s="495"/>
      <c r="P271" s="496"/>
      <c r="Q271" s="494"/>
      <c r="R271" s="526"/>
      <c r="S271" s="526"/>
    </row>
    <row r="272" spans="1:19" ht="37.5" customHeight="1">
      <c r="A272" s="74">
        <v>63</v>
      </c>
      <c r="B272" s="910"/>
      <c r="C272" s="1000" t="s">
        <v>910</v>
      </c>
      <c r="D272" s="1001"/>
      <c r="E272" s="1001"/>
      <c r="F272" s="1002"/>
      <c r="G272" s="379" t="s">
        <v>11</v>
      </c>
      <c r="H272" s="83">
        <f>H273</f>
        <v>6</v>
      </c>
      <c r="I272" s="103">
        <f>H273</f>
        <v>6</v>
      </c>
      <c r="J272" s="521"/>
      <c r="K272" s="521"/>
      <c r="N272" s="494"/>
      <c r="O272" s="495"/>
      <c r="P272" s="496"/>
      <c r="Q272" s="494"/>
      <c r="R272" s="526"/>
      <c r="S272" s="526"/>
    </row>
    <row r="273" spans="1:19" ht="21" hidden="1" customHeight="1">
      <c r="A273" s="74"/>
      <c r="B273" s="910"/>
      <c r="C273" s="583" t="s">
        <v>712</v>
      </c>
      <c r="D273" s="589">
        <v>6</v>
      </c>
      <c r="E273" s="581" t="s">
        <v>11</v>
      </c>
      <c r="F273" s="585" t="s">
        <v>715</v>
      </c>
      <c r="G273" s="379" t="s">
        <v>34</v>
      </c>
      <c r="H273" s="83">
        <f>D273</f>
        <v>6</v>
      </c>
      <c r="I273" s="83" t="s">
        <v>34</v>
      </c>
      <c r="J273" s="521"/>
      <c r="K273" s="521"/>
      <c r="N273" s="494"/>
      <c r="O273" s="495"/>
      <c r="P273" s="496"/>
      <c r="Q273" s="494"/>
      <c r="R273" s="526"/>
      <c r="S273" s="526"/>
    </row>
    <row r="274" spans="1:19" ht="21" customHeight="1">
      <c r="A274" s="74">
        <v>64</v>
      </c>
      <c r="B274" s="910"/>
      <c r="C274" s="1000" t="s">
        <v>864</v>
      </c>
      <c r="D274" s="1001"/>
      <c r="E274" s="1001"/>
      <c r="F274" s="1002"/>
      <c r="G274" s="458" t="s">
        <v>734</v>
      </c>
      <c r="H274" s="566">
        <f>H275</f>
        <v>3.6</v>
      </c>
      <c r="I274" s="568">
        <f>H275</f>
        <v>3.6</v>
      </c>
      <c r="J274" s="521"/>
      <c r="K274" s="521"/>
      <c r="N274" s="494"/>
      <c r="O274" s="495"/>
      <c r="P274" s="496"/>
      <c r="Q274" s="494"/>
      <c r="R274" s="526"/>
      <c r="S274" s="526"/>
    </row>
    <row r="275" spans="1:19" ht="21" hidden="1" customHeight="1">
      <c r="A275" s="74"/>
      <c r="B275" s="910"/>
      <c r="C275" s="579" t="s">
        <v>714</v>
      </c>
      <c r="D275" s="589">
        <f>H275</f>
        <v>3.6</v>
      </c>
      <c r="E275" s="581" t="s">
        <v>734</v>
      </c>
      <c r="F275" s="582"/>
      <c r="G275" s="458" t="s">
        <v>34</v>
      </c>
      <c r="H275" s="566">
        <f>H273*0.6*1</f>
        <v>3.6</v>
      </c>
      <c r="I275" s="568" t="s">
        <v>34</v>
      </c>
      <c r="J275" s="521"/>
      <c r="K275" s="521"/>
      <c r="N275" s="494"/>
      <c r="O275" s="495"/>
      <c r="P275" s="496"/>
      <c r="Q275" s="494"/>
      <c r="R275" s="526"/>
      <c r="S275" s="526"/>
    </row>
    <row r="276" spans="1:19" ht="21" customHeight="1">
      <c r="A276" s="74">
        <v>65</v>
      </c>
      <c r="B276" s="847"/>
      <c r="C276" s="1000" t="s">
        <v>867</v>
      </c>
      <c r="D276" s="1001"/>
      <c r="E276" s="1001"/>
      <c r="F276" s="1002"/>
      <c r="G276" s="458" t="s">
        <v>859</v>
      </c>
      <c r="H276" s="566">
        <f>H277</f>
        <v>1</v>
      </c>
      <c r="I276" s="568">
        <f>H277</f>
        <v>1</v>
      </c>
      <c r="J276" s="521"/>
      <c r="K276" s="521"/>
      <c r="N276" s="494"/>
      <c r="O276" s="495"/>
      <c r="P276" s="496"/>
      <c r="Q276" s="494"/>
      <c r="R276" s="526"/>
      <c r="S276" s="526"/>
    </row>
    <row r="277" spans="1:19" ht="21" hidden="1" customHeight="1">
      <c r="A277" s="76"/>
      <c r="B277" s="76"/>
      <c r="C277" s="557" t="s">
        <v>717</v>
      </c>
      <c r="D277" s="558">
        <f>H277</f>
        <v>1</v>
      </c>
      <c r="E277" s="559" t="s">
        <v>626</v>
      </c>
      <c r="F277" s="560" t="s">
        <v>865</v>
      </c>
      <c r="G277" s="567" t="s">
        <v>34</v>
      </c>
      <c r="H277" s="568">
        <v>1</v>
      </c>
      <c r="I277" s="568"/>
      <c r="J277" s="521"/>
      <c r="K277" s="521"/>
      <c r="N277" s="494"/>
      <c r="O277" s="495"/>
      <c r="P277" s="496"/>
      <c r="Q277" s="494"/>
      <c r="R277" s="526"/>
      <c r="S277" s="526"/>
    </row>
    <row r="278" spans="1:19" ht="21" customHeight="1">
      <c r="A278" s="837" t="s">
        <v>905</v>
      </c>
      <c r="B278" s="838"/>
      <c r="C278" s="838"/>
      <c r="D278" s="838"/>
      <c r="E278" s="838"/>
      <c r="F278" s="838"/>
      <c r="G278" s="838"/>
      <c r="H278" s="838"/>
      <c r="I278" s="838"/>
      <c r="J278" s="839"/>
      <c r="K278" s="401"/>
      <c r="N278" s="494"/>
      <c r="O278" s="495"/>
      <c r="P278" s="496"/>
      <c r="Q278" s="494"/>
      <c r="R278" s="526"/>
      <c r="S278" s="526"/>
    </row>
    <row r="279" spans="1:19" ht="21" customHeight="1">
      <c r="A279" s="1012" t="s">
        <v>901</v>
      </c>
      <c r="B279" s="1013"/>
      <c r="C279" s="1013"/>
      <c r="D279" s="1013"/>
      <c r="E279" s="1013"/>
      <c r="F279" s="1013"/>
      <c r="G279" s="1013"/>
      <c r="H279" s="1013"/>
      <c r="I279" s="1013"/>
      <c r="J279" s="1014"/>
      <c r="K279" s="522"/>
      <c r="N279" s="494"/>
      <c r="O279" s="495"/>
      <c r="P279" s="496"/>
      <c r="Q279" s="494"/>
      <c r="R279" s="526"/>
      <c r="S279" s="526"/>
    </row>
    <row r="280" spans="1:19" ht="21" customHeight="1">
      <c r="A280" s="1011" t="s">
        <v>906</v>
      </c>
      <c r="B280" s="1011"/>
      <c r="C280" s="1011"/>
      <c r="D280" s="1011"/>
      <c r="E280" s="1011"/>
      <c r="F280" s="1011"/>
      <c r="G280" s="1011"/>
      <c r="H280" s="1011"/>
      <c r="I280" s="1011"/>
      <c r="J280" s="1011"/>
      <c r="K280" s="486"/>
      <c r="N280" s="494"/>
      <c r="O280" s="495"/>
      <c r="P280" s="496"/>
      <c r="Q280" s="494"/>
      <c r="R280" s="526"/>
      <c r="S280" s="526"/>
    </row>
    <row r="281" spans="1:19" ht="21" customHeight="1">
      <c r="A281" s="1011" t="s">
        <v>192</v>
      </c>
      <c r="B281" s="1011"/>
      <c r="C281" s="1011"/>
      <c r="D281" s="1011"/>
      <c r="E281" s="1011"/>
      <c r="F281" s="1011"/>
      <c r="G281" s="1011"/>
      <c r="H281" s="1011"/>
      <c r="I281" s="1011"/>
      <c r="J281" s="1011"/>
      <c r="K281" s="486"/>
      <c r="N281" s="494"/>
      <c r="O281" s="495"/>
      <c r="P281" s="496"/>
      <c r="Q281" s="494"/>
      <c r="R281" s="526"/>
      <c r="S281" s="526"/>
    </row>
    <row r="282" spans="1:19" ht="21" customHeight="1">
      <c r="A282" s="1011" t="s">
        <v>193</v>
      </c>
      <c r="B282" s="1011"/>
      <c r="C282" s="1011"/>
      <c r="D282" s="1011"/>
      <c r="E282" s="1011"/>
      <c r="F282" s="1011"/>
      <c r="G282" s="1011"/>
      <c r="H282" s="1011"/>
      <c r="I282" s="1011"/>
      <c r="J282" s="1011"/>
      <c r="K282" s="486"/>
      <c r="N282" s="494"/>
      <c r="O282" s="495"/>
      <c r="P282" s="496"/>
      <c r="Q282" s="494"/>
      <c r="R282" s="526"/>
      <c r="S282" s="526"/>
    </row>
    <row r="283" spans="1:19" ht="12.75" customHeight="1">
      <c r="A283" s="553"/>
      <c r="B283" s="553"/>
      <c r="C283" s="554"/>
      <c r="D283" s="556"/>
      <c r="E283" s="555"/>
      <c r="F283" s="555"/>
      <c r="G283" s="500"/>
      <c r="H283" s="547"/>
      <c r="I283" s="561"/>
      <c r="N283" s="497"/>
      <c r="O283" s="498"/>
      <c r="P283" s="499"/>
      <c r="Q283" s="500"/>
      <c r="R283" s="547"/>
      <c r="S283" s="526"/>
    </row>
    <row r="284" spans="1:19" ht="12.75" customHeight="1">
      <c r="A284" s="553"/>
      <c r="B284" s="553"/>
      <c r="C284" s="554"/>
      <c r="D284" s="556"/>
      <c r="E284" s="555"/>
      <c r="F284" s="555"/>
      <c r="G284" s="500"/>
      <c r="H284" s="547"/>
      <c r="I284" s="561"/>
      <c r="N284" s="497"/>
      <c r="O284" s="498"/>
      <c r="P284" s="499"/>
      <c r="Q284" s="500"/>
      <c r="R284" s="547"/>
      <c r="S284" s="526"/>
    </row>
    <row r="285" spans="1:19" ht="12.75" customHeight="1">
      <c r="A285" s="553"/>
      <c r="B285" s="553"/>
      <c r="C285" s="554"/>
      <c r="D285" s="556"/>
      <c r="E285" s="555"/>
      <c r="F285" s="555"/>
      <c r="G285" s="500"/>
      <c r="H285" s="547"/>
      <c r="I285" s="561"/>
      <c r="N285" s="497"/>
      <c r="O285" s="498"/>
      <c r="P285" s="499"/>
      <c r="Q285" s="500"/>
      <c r="R285" s="547"/>
      <c r="S285" s="526"/>
    </row>
    <row r="286" spans="1:19">
      <c r="A286" s="553"/>
      <c r="B286" s="553"/>
      <c r="C286" s="554"/>
      <c r="D286" s="556"/>
      <c r="E286" s="555"/>
      <c r="F286" s="555"/>
      <c r="G286" s="500"/>
      <c r="H286" s="547"/>
      <c r="I286" s="561"/>
    </row>
    <row r="287" spans="1:19">
      <c r="A287" s="553"/>
      <c r="B287" s="553"/>
      <c r="C287" s="554"/>
      <c r="D287" s="556"/>
      <c r="E287" s="555"/>
      <c r="F287" s="555"/>
      <c r="G287" s="500"/>
      <c r="H287" s="547"/>
      <c r="I287" s="561"/>
    </row>
    <row r="288" spans="1:19">
      <c r="A288" s="553"/>
      <c r="B288" s="553"/>
      <c r="C288" s="554"/>
      <c r="D288" s="556"/>
      <c r="E288" s="555"/>
      <c r="F288" s="555"/>
      <c r="G288" s="500"/>
      <c r="H288" s="547"/>
      <c r="I288" s="561"/>
    </row>
    <row r="289" spans="2:7">
      <c r="B289" s="494"/>
      <c r="C289" s="507"/>
      <c r="D289" s="504"/>
      <c r="E289" s="494"/>
      <c r="F289" s="526"/>
      <c r="G289" s="526"/>
    </row>
    <row r="290" spans="2:7">
      <c r="B290" s="494"/>
      <c r="C290" s="507"/>
      <c r="D290" s="504"/>
      <c r="E290" s="494"/>
      <c r="F290" s="526"/>
      <c r="G290" s="526"/>
    </row>
    <row r="291" spans="2:7">
      <c r="B291" s="494"/>
      <c r="C291" s="507"/>
      <c r="D291" s="504"/>
      <c r="E291" s="494"/>
      <c r="F291" s="526"/>
      <c r="G291" s="526"/>
    </row>
    <row r="292" spans="2:7">
      <c r="B292" s="494"/>
      <c r="C292" s="507"/>
      <c r="D292" s="504"/>
      <c r="E292" s="494"/>
      <c r="F292" s="526"/>
      <c r="G292" s="526"/>
    </row>
  </sheetData>
  <mergeCells count="475">
    <mergeCell ref="A278:J278"/>
    <mergeCell ref="A279:J279"/>
    <mergeCell ref="A280:J280"/>
    <mergeCell ref="A281:J281"/>
    <mergeCell ref="A282:J282"/>
    <mergeCell ref="B214:K214"/>
    <mergeCell ref="C215:K215"/>
    <mergeCell ref="B229:K229"/>
    <mergeCell ref="C230:K230"/>
    <mergeCell ref="A227:J227"/>
    <mergeCell ref="A228:J228"/>
    <mergeCell ref="B265:K265"/>
    <mergeCell ref="C266:K266"/>
    <mergeCell ref="C251:K251"/>
    <mergeCell ref="A263:J263"/>
    <mergeCell ref="A264:J264"/>
    <mergeCell ref="A250:J250"/>
    <mergeCell ref="C216:K216"/>
    <mergeCell ref="C231:K231"/>
    <mergeCell ref="C252:K252"/>
    <mergeCell ref="C267:K267"/>
    <mergeCell ref="A232:A233"/>
    <mergeCell ref="B232:B233"/>
    <mergeCell ref="C232:F232"/>
    <mergeCell ref="A82:J82"/>
    <mergeCell ref="A117:J117"/>
    <mergeCell ref="A156:J156"/>
    <mergeCell ref="A179:J179"/>
    <mergeCell ref="A199:J199"/>
    <mergeCell ref="A212:J212"/>
    <mergeCell ref="A213:J213"/>
    <mergeCell ref="C42:K42"/>
    <mergeCell ref="C53:K53"/>
    <mergeCell ref="C54:K54"/>
    <mergeCell ref="C91:K91"/>
    <mergeCell ref="C113:K113"/>
    <mergeCell ref="C123:K123"/>
    <mergeCell ref="C127:K127"/>
    <mergeCell ref="C134:K134"/>
    <mergeCell ref="C148:K148"/>
    <mergeCell ref="C195:K195"/>
    <mergeCell ref="C200:K200"/>
    <mergeCell ref="C201:K201"/>
    <mergeCell ref="C208:K208"/>
    <mergeCell ref="K45:K46"/>
    <mergeCell ref="C61:F61"/>
    <mergeCell ref="A62:A66"/>
    <mergeCell ref="B62:B66"/>
    <mergeCell ref="C7:F7"/>
    <mergeCell ref="Q7:Q13"/>
    <mergeCell ref="C8:F8"/>
    <mergeCell ref="C9:F9"/>
    <mergeCell ref="C10:F10"/>
    <mergeCell ref="C11:F11"/>
    <mergeCell ref="A12:J12"/>
    <mergeCell ref="A13:J13"/>
    <mergeCell ref="A1:K1"/>
    <mergeCell ref="A2:K2"/>
    <mergeCell ref="C3:F3"/>
    <mergeCell ref="B4:K4"/>
    <mergeCell ref="C5:K5"/>
    <mergeCell ref="C6:K6"/>
    <mergeCell ref="B14:K14"/>
    <mergeCell ref="C15:I15"/>
    <mergeCell ref="C16:I16"/>
    <mergeCell ref="C17:F17"/>
    <mergeCell ref="A18:A19"/>
    <mergeCell ref="B18:B19"/>
    <mergeCell ref="C18:F18"/>
    <mergeCell ref="G18:G19"/>
    <mergeCell ref="H18:H19"/>
    <mergeCell ref="I18:I19"/>
    <mergeCell ref="K18:K19"/>
    <mergeCell ref="C25:F25"/>
    <mergeCell ref="A26:A27"/>
    <mergeCell ref="B26:B27"/>
    <mergeCell ref="C26:F26"/>
    <mergeCell ref="G26:G27"/>
    <mergeCell ref="H26:H27"/>
    <mergeCell ref="I26:I27"/>
    <mergeCell ref="J18:J19"/>
    <mergeCell ref="J26:J27"/>
    <mergeCell ref="C20:I20"/>
    <mergeCell ref="C21:F21"/>
    <mergeCell ref="A22:A23"/>
    <mergeCell ref="B22:B23"/>
    <mergeCell ref="C22:F22"/>
    <mergeCell ref="G22:G23"/>
    <mergeCell ref="H22:H23"/>
    <mergeCell ref="I22:I23"/>
    <mergeCell ref="C24:I24"/>
    <mergeCell ref="K26:K27"/>
    <mergeCell ref="C28:I28"/>
    <mergeCell ref="C29:F29"/>
    <mergeCell ref="A30:A31"/>
    <mergeCell ref="B30:B31"/>
    <mergeCell ref="C30:F30"/>
    <mergeCell ref="G30:G31"/>
    <mergeCell ref="H30:H31"/>
    <mergeCell ref="I30:I31"/>
    <mergeCell ref="C39:F39"/>
    <mergeCell ref="G39:G40"/>
    <mergeCell ref="H39:H40"/>
    <mergeCell ref="I39:I40"/>
    <mergeCell ref="A41:J41"/>
    <mergeCell ref="J45:J46"/>
    <mergeCell ref="C32:F32"/>
    <mergeCell ref="A33:A34"/>
    <mergeCell ref="B33:B34"/>
    <mergeCell ref="C33:F33"/>
    <mergeCell ref="G33:G34"/>
    <mergeCell ref="H33:H34"/>
    <mergeCell ref="I33:I34"/>
    <mergeCell ref="C58:F58"/>
    <mergeCell ref="G58:G60"/>
    <mergeCell ref="I58:I60"/>
    <mergeCell ref="C59:F59"/>
    <mergeCell ref="C60:F60"/>
    <mergeCell ref="C35:F35"/>
    <mergeCell ref="A36:A37"/>
    <mergeCell ref="B36:B37"/>
    <mergeCell ref="C36:F36"/>
    <mergeCell ref="G36:G37"/>
    <mergeCell ref="H36:H37"/>
    <mergeCell ref="C43:I43"/>
    <mergeCell ref="C44:F44"/>
    <mergeCell ref="C55:F55"/>
    <mergeCell ref="A45:A46"/>
    <mergeCell ref="B45:B46"/>
    <mergeCell ref="C45:F45"/>
    <mergeCell ref="G45:G46"/>
    <mergeCell ref="H45:H46"/>
    <mergeCell ref="I45:I46"/>
    <mergeCell ref="I36:I37"/>
    <mergeCell ref="C38:F38"/>
    <mergeCell ref="A39:A40"/>
    <mergeCell ref="B39:B40"/>
    <mergeCell ref="R45:U45"/>
    <mergeCell ref="R46:U46"/>
    <mergeCell ref="C47:I47"/>
    <mergeCell ref="C48:F48"/>
    <mergeCell ref="K49:K50"/>
    <mergeCell ref="R49:U49"/>
    <mergeCell ref="C67:F67"/>
    <mergeCell ref="A68:A69"/>
    <mergeCell ref="B68:B69"/>
    <mergeCell ref="C68:F68"/>
    <mergeCell ref="A56:A60"/>
    <mergeCell ref="B56:B60"/>
    <mergeCell ref="C56:F56"/>
    <mergeCell ref="G56:G57"/>
    <mergeCell ref="J49:J50"/>
    <mergeCell ref="A51:J51"/>
    <mergeCell ref="A49:A50"/>
    <mergeCell ref="B49:B50"/>
    <mergeCell ref="C49:F49"/>
    <mergeCell ref="G49:G50"/>
    <mergeCell ref="H49:H50"/>
    <mergeCell ref="I49:I50"/>
    <mergeCell ref="A52:J52"/>
    <mergeCell ref="I56:I57"/>
    <mergeCell ref="C70:F70"/>
    <mergeCell ref="A71:A72"/>
    <mergeCell ref="B71:B72"/>
    <mergeCell ref="C71:F71"/>
    <mergeCell ref="I62:I63"/>
    <mergeCell ref="C64:F64"/>
    <mergeCell ref="G64:G66"/>
    <mergeCell ref="I64:I66"/>
    <mergeCell ref="C65:F65"/>
    <mergeCell ref="C66:F66"/>
    <mergeCell ref="G71:G72"/>
    <mergeCell ref="I71:I72"/>
    <mergeCell ref="C62:F62"/>
    <mergeCell ref="G62:G63"/>
    <mergeCell ref="C73:F73"/>
    <mergeCell ref="A74:A75"/>
    <mergeCell ref="B74:B75"/>
    <mergeCell ref="C74:F74"/>
    <mergeCell ref="G74:G75"/>
    <mergeCell ref="I74:I75"/>
    <mergeCell ref="I77:I78"/>
    <mergeCell ref="C79:F79"/>
    <mergeCell ref="A80:A81"/>
    <mergeCell ref="B80:B81"/>
    <mergeCell ref="C80:F80"/>
    <mergeCell ref="G80:G81"/>
    <mergeCell ref="H80:H81"/>
    <mergeCell ref="I80:I81"/>
    <mergeCell ref="C76:F76"/>
    <mergeCell ref="A77:A78"/>
    <mergeCell ref="B77:B78"/>
    <mergeCell ref="C77:F77"/>
    <mergeCell ref="G77:G78"/>
    <mergeCell ref="C88:F88"/>
    <mergeCell ref="A89:A90"/>
    <mergeCell ref="B89:B90"/>
    <mergeCell ref="C89:F89"/>
    <mergeCell ref="G89:G90"/>
    <mergeCell ref="H89:H90"/>
    <mergeCell ref="C83:I83"/>
    <mergeCell ref="C84:I84"/>
    <mergeCell ref="C85:F85"/>
    <mergeCell ref="A86:A87"/>
    <mergeCell ref="B86:B87"/>
    <mergeCell ref="C86:F86"/>
    <mergeCell ref="G86:G87"/>
    <mergeCell ref="I86:I87"/>
    <mergeCell ref="C95:F95"/>
    <mergeCell ref="A96:A97"/>
    <mergeCell ref="B96:B97"/>
    <mergeCell ref="C96:F96"/>
    <mergeCell ref="G96:G97"/>
    <mergeCell ref="H96:H97"/>
    <mergeCell ref="I89:I90"/>
    <mergeCell ref="C92:F92"/>
    <mergeCell ref="A93:A94"/>
    <mergeCell ref="B93:B94"/>
    <mergeCell ref="C93:F93"/>
    <mergeCell ref="G93:G94"/>
    <mergeCell ref="I93:I94"/>
    <mergeCell ref="I96:I97"/>
    <mergeCell ref="C98:I98"/>
    <mergeCell ref="C99:F99"/>
    <mergeCell ref="A100:A101"/>
    <mergeCell ref="B100:B101"/>
    <mergeCell ref="C100:F100"/>
    <mergeCell ref="G100:G101"/>
    <mergeCell ref="I100:I101"/>
    <mergeCell ref="C102:F102"/>
    <mergeCell ref="A103:A104"/>
    <mergeCell ref="B103:B104"/>
    <mergeCell ref="C103:F103"/>
    <mergeCell ref="G103:G104"/>
    <mergeCell ref="H103:H104"/>
    <mergeCell ref="I103:I104"/>
    <mergeCell ref="C109:F109"/>
    <mergeCell ref="A110:A111"/>
    <mergeCell ref="B110:B111"/>
    <mergeCell ref="C110:F110"/>
    <mergeCell ref="G110:G111"/>
    <mergeCell ref="H110:H111"/>
    <mergeCell ref="C105:I105"/>
    <mergeCell ref="C106:F106"/>
    <mergeCell ref="A107:A108"/>
    <mergeCell ref="B107:B108"/>
    <mergeCell ref="C107:F107"/>
    <mergeCell ref="G107:G108"/>
    <mergeCell ref="I107:I108"/>
    <mergeCell ref="A115:A116"/>
    <mergeCell ref="B115:B116"/>
    <mergeCell ref="C115:F115"/>
    <mergeCell ref="G115:G116"/>
    <mergeCell ref="H115:H116"/>
    <mergeCell ref="I115:I116"/>
    <mergeCell ref="I110:I111"/>
    <mergeCell ref="J110:J111"/>
    <mergeCell ref="K110:K111"/>
    <mergeCell ref="A112:J112"/>
    <mergeCell ref="C114:F114"/>
    <mergeCell ref="C118:I118"/>
    <mergeCell ref="C119:I119"/>
    <mergeCell ref="C120:F120"/>
    <mergeCell ref="A121:A122"/>
    <mergeCell ref="B121:B122"/>
    <mergeCell ref="C121:F121"/>
    <mergeCell ref="G121:G122"/>
    <mergeCell ref="H121:H122"/>
    <mergeCell ref="I121:I122"/>
    <mergeCell ref="C128:F128"/>
    <mergeCell ref="A129:A130"/>
    <mergeCell ref="B129:B130"/>
    <mergeCell ref="C129:F129"/>
    <mergeCell ref="G129:G130"/>
    <mergeCell ref="J121:J122"/>
    <mergeCell ref="K121:K122"/>
    <mergeCell ref="C124:F124"/>
    <mergeCell ref="A125:A126"/>
    <mergeCell ref="B125:B126"/>
    <mergeCell ref="C125:F125"/>
    <mergeCell ref="G125:G126"/>
    <mergeCell ref="H125:H126"/>
    <mergeCell ref="I125:I126"/>
    <mergeCell ref="C135:F135"/>
    <mergeCell ref="A136:A137"/>
    <mergeCell ref="B136:B137"/>
    <mergeCell ref="C136:F136"/>
    <mergeCell ref="G136:G137"/>
    <mergeCell ref="I136:I137"/>
    <mergeCell ref="I129:I130"/>
    <mergeCell ref="C131:F131"/>
    <mergeCell ref="A132:A133"/>
    <mergeCell ref="B132:B133"/>
    <mergeCell ref="C132:F132"/>
    <mergeCell ref="G132:G133"/>
    <mergeCell ref="H132:H133"/>
    <mergeCell ref="I132:I133"/>
    <mergeCell ref="I139:I140"/>
    <mergeCell ref="C141:F141"/>
    <mergeCell ref="A142:A143"/>
    <mergeCell ref="B142:B143"/>
    <mergeCell ref="C142:F142"/>
    <mergeCell ref="G142:G143"/>
    <mergeCell ref="H142:H143"/>
    <mergeCell ref="I142:I143"/>
    <mergeCell ref="C138:F138"/>
    <mergeCell ref="A139:A140"/>
    <mergeCell ref="B139:B140"/>
    <mergeCell ref="C139:F139"/>
    <mergeCell ref="G139:G140"/>
    <mergeCell ref="J142:J143"/>
    <mergeCell ref="K142:K143"/>
    <mergeCell ref="C144:I144"/>
    <mergeCell ref="C145:F145"/>
    <mergeCell ref="A146:A147"/>
    <mergeCell ref="B146:B147"/>
    <mergeCell ref="C146:F146"/>
    <mergeCell ref="G146:G147"/>
    <mergeCell ref="H146:H147"/>
    <mergeCell ref="I146:I147"/>
    <mergeCell ref="K146:K147"/>
    <mergeCell ref="A154:A155"/>
    <mergeCell ref="B154:B155"/>
    <mergeCell ref="C154:F154"/>
    <mergeCell ref="G154:G155"/>
    <mergeCell ref="H154:H155"/>
    <mergeCell ref="I154:I155"/>
    <mergeCell ref="J146:J147"/>
    <mergeCell ref="C157:I157"/>
    <mergeCell ref="C158:I158"/>
    <mergeCell ref="C149:F149"/>
    <mergeCell ref="A150:A151"/>
    <mergeCell ref="B150:B151"/>
    <mergeCell ref="C150:F150"/>
    <mergeCell ref="G150:G151"/>
    <mergeCell ref="H150:H151"/>
    <mergeCell ref="I150:I151"/>
    <mergeCell ref="A152:J152"/>
    <mergeCell ref="C159:F159"/>
    <mergeCell ref="A160:A161"/>
    <mergeCell ref="B160:B161"/>
    <mergeCell ref="C160:F160"/>
    <mergeCell ref="G160:G161"/>
    <mergeCell ref="I160:I161"/>
    <mergeCell ref="C166:F166"/>
    <mergeCell ref="A167:A168"/>
    <mergeCell ref="B167:B168"/>
    <mergeCell ref="C167:F167"/>
    <mergeCell ref="G167:G168"/>
    <mergeCell ref="H167:H168"/>
    <mergeCell ref="C163:F163"/>
    <mergeCell ref="C164:F164"/>
    <mergeCell ref="G164:G165"/>
    <mergeCell ref="I164:I165"/>
    <mergeCell ref="C172:F172"/>
    <mergeCell ref="C173:F173"/>
    <mergeCell ref="G173:G174"/>
    <mergeCell ref="H173:H174"/>
    <mergeCell ref="I173:I174"/>
    <mergeCell ref="C175:F175"/>
    <mergeCell ref="I167:I168"/>
    <mergeCell ref="J167:J168"/>
    <mergeCell ref="K167:K168"/>
    <mergeCell ref="A169:J169"/>
    <mergeCell ref="C170:I170"/>
    <mergeCell ref="C171:I171"/>
    <mergeCell ref="C181:I181"/>
    <mergeCell ref="C182:F182"/>
    <mergeCell ref="A183:A184"/>
    <mergeCell ref="B183:B184"/>
    <mergeCell ref="C183:F183"/>
    <mergeCell ref="G183:G184"/>
    <mergeCell ref="H183:H184"/>
    <mergeCell ref="I183:I184"/>
    <mergeCell ref="C176:F176"/>
    <mergeCell ref="G176:G177"/>
    <mergeCell ref="H176:H177"/>
    <mergeCell ref="I176:I177"/>
    <mergeCell ref="A178:J178"/>
    <mergeCell ref="C180:I180"/>
    <mergeCell ref="C189:F189"/>
    <mergeCell ref="A190:A191"/>
    <mergeCell ref="B190:B191"/>
    <mergeCell ref="C190:F190"/>
    <mergeCell ref="G190:G191"/>
    <mergeCell ref="H190:H191"/>
    <mergeCell ref="J183:J184"/>
    <mergeCell ref="K183:K184"/>
    <mergeCell ref="A185:J185"/>
    <mergeCell ref="C186:F186"/>
    <mergeCell ref="A187:A188"/>
    <mergeCell ref="B187:B188"/>
    <mergeCell ref="C187:F187"/>
    <mergeCell ref="G187:G188"/>
    <mergeCell ref="H187:H188"/>
    <mergeCell ref="I187:I188"/>
    <mergeCell ref="I197:I198"/>
    <mergeCell ref="I190:I191"/>
    <mergeCell ref="C192:F192"/>
    <mergeCell ref="A193:A194"/>
    <mergeCell ref="B193:B194"/>
    <mergeCell ref="C193:F193"/>
    <mergeCell ref="G193:G194"/>
    <mergeCell ref="H193:H194"/>
    <mergeCell ref="I193:I194"/>
    <mergeCell ref="C202:F202"/>
    <mergeCell ref="A203:A204"/>
    <mergeCell ref="B203:B204"/>
    <mergeCell ref="C203:F203"/>
    <mergeCell ref="G203:G204"/>
    <mergeCell ref="H203:H204"/>
    <mergeCell ref="C196:F196"/>
    <mergeCell ref="A197:A198"/>
    <mergeCell ref="B197:B198"/>
    <mergeCell ref="C197:F197"/>
    <mergeCell ref="G197:G198"/>
    <mergeCell ref="H197:H198"/>
    <mergeCell ref="A210:A211"/>
    <mergeCell ref="B210:B211"/>
    <mergeCell ref="C210:F210"/>
    <mergeCell ref="G210:G211"/>
    <mergeCell ref="H210:H211"/>
    <mergeCell ref="I210:I211"/>
    <mergeCell ref="C225:F225"/>
    <mergeCell ref="C205:F205"/>
    <mergeCell ref="A206:A207"/>
    <mergeCell ref="B206:B207"/>
    <mergeCell ref="C206:F206"/>
    <mergeCell ref="G206:G207"/>
    <mergeCell ref="H206:H207"/>
    <mergeCell ref="I203:I204"/>
    <mergeCell ref="P214:S214"/>
    <mergeCell ref="B217:B226"/>
    <mergeCell ref="C217:F217"/>
    <mergeCell ref="C219:F219"/>
    <mergeCell ref="C221:F221"/>
    <mergeCell ref="C223:F223"/>
    <mergeCell ref="I206:I207"/>
    <mergeCell ref="C209:F209"/>
    <mergeCell ref="A238:A239"/>
    <mergeCell ref="B238:B239"/>
    <mergeCell ref="C238:F238"/>
    <mergeCell ref="A240:A241"/>
    <mergeCell ref="B240:B241"/>
    <mergeCell ref="C240:F240"/>
    <mergeCell ref="A234:A235"/>
    <mergeCell ref="B234:B235"/>
    <mergeCell ref="C234:F234"/>
    <mergeCell ref="A236:A237"/>
    <mergeCell ref="B236:B237"/>
    <mergeCell ref="C236:F236"/>
    <mergeCell ref="A246:A247"/>
    <mergeCell ref="B246:B247"/>
    <mergeCell ref="C246:F246"/>
    <mergeCell ref="A248:A249"/>
    <mergeCell ref="B248:B249"/>
    <mergeCell ref="C248:F248"/>
    <mergeCell ref="A242:A243"/>
    <mergeCell ref="B242:B243"/>
    <mergeCell ref="C242:F242"/>
    <mergeCell ref="A244:A245"/>
    <mergeCell ref="B244:B245"/>
    <mergeCell ref="C244:F244"/>
    <mergeCell ref="C270:F270"/>
    <mergeCell ref="C272:F272"/>
    <mergeCell ref="C274:F274"/>
    <mergeCell ref="C276:F276"/>
    <mergeCell ref="B268:B276"/>
    <mergeCell ref="B253:B262"/>
    <mergeCell ref="C253:F253"/>
    <mergeCell ref="C255:F255"/>
    <mergeCell ref="C257:F257"/>
    <mergeCell ref="C259:F259"/>
    <mergeCell ref="C261:F261"/>
    <mergeCell ref="C268:F268"/>
  </mergeCells>
  <printOptions gridLines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rowBreaks count="2" manualBreakCount="2">
    <brk id="82" max="10" man="1"/>
    <brk id="199" max="1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Y195"/>
  <sheetViews>
    <sheetView view="pageBreakPreview" topLeftCell="A166" zoomScaleNormal="100" zoomScaleSheetLayoutView="100" workbookViewId="0">
      <selection activeCell="A190" sqref="A190:H192"/>
    </sheetView>
  </sheetViews>
  <sheetFormatPr defaultRowHeight="12.75"/>
  <cols>
    <col min="1" max="1" width="10.28515625" style="17" customWidth="1"/>
    <col min="2" max="2" width="15.5703125" style="40" customWidth="1"/>
    <col min="3" max="3" width="65.7109375" style="42" customWidth="1"/>
    <col min="4" max="4" width="10.42578125" style="43" customWidth="1"/>
    <col min="5" max="5" width="9.7109375" style="18" hidden="1" customWidth="1"/>
    <col min="6" max="6" width="9.7109375" style="388" customWidth="1"/>
    <col min="7" max="7" width="14.42578125" style="18" customWidth="1"/>
    <col min="8" max="8" width="19.85546875" style="398" customWidth="1"/>
    <col min="9" max="9" width="13" style="20" hidden="1" customWidth="1"/>
    <col min="10" max="10" width="6.140625" style="40" hidden="1" customWidth="1"/>
    <col min="11" max="11" width="12.140625" style="40" hidden="1" customWidth="1"/>
    <col min="12" max="12" width="13" style="40" hidden="1" customWidth="1"/>
    <col min="13" max="13" width="9.140625" style="40"/>
    <col min="14" max="14" width="13.42578125" style="40" bestFit="1" customWidth="1"/>
    <col min="15" max="16384" width="9.140625" style="40"/>
  </cols>
  <sheetData>
    <row r="1" spans="1:14" s="4" customFormat="1" ht="31.5" customHeight="1">
      <c r="A1" s="744" t="s">
        <v>68</v>
      </c>
      <c r="B1" s="745"/>
      <c r="C1" s="745"/>
      <c r="D1" s="745"/>
      <c r="E1" s="745"/>
      <c r="F1" s="745"/>
      <c r="G1" s="745"/>
      <c r="H1" s="745"/>
      <c r="I1" s="745"/>
      <c r="J1" s="103"/>
      <c r="K1" s="743"/>
      <c r="L1" s="743"/>
    </row>
    <row r="2" spans="1:14" s="4" customFormat="1" ht="52.5" customHeight="1">
      <c r="A2" s="746" t="s">
        <v>670</v>
      </c>
      <c r="B2" s="746"/>
      <c r="C2" s="746"/>
      <c r="D2" s="746"/>
      <c r="E2" s="746"/>
      <c r="F2" s="746"/>
      <c r="G2" s="746"/>
      <c r="H2" s="746"/>
      <c r="I2" s="746"/>
      <c r="J2" s="77"/>
      <c r="K2" s="739"/>
      <c r="L2" s="739"/>
      <c r="M2" s="6"/>
      <c r="N2" s="6"/>
    </row>
    <row r="3" spans="1:14" ht="45" customHeight="1">
      <c r="A3" s="74" t="s">
        <v>3</v>
      </c>
      <c r="B3" s="75" t="s">
        <v>199</v>
      </c>
      <c r="C3" s="74" t="s">
        <v>190</v>
      </c>
      <c r="D3" s="74" t="s">
        <v>5</v>
      </c>
      <c r="E3" s="22" t="s">
        <v>6</v>
      </c>
      <c r="F3" s="380" t="str">
        <f>I3</f>
        <v>Ilośc jednostek</v>
      </c>
      <c r="G3" s="22" t="s">
        <v>66</v>
      </c>
      <c r="H3" s="389" t="s">
        <v>67</v>
      </c>
      <c r="I3" s="102" t="s">
        <v>654</v>
      </c>
      <c r="J3" s="102"/>
      <c r="K3" s="22" t="s">
        <v>66</v>
      </c>
      <c r="L3" s="22" t="s">
        <v>67</v>
      </c>
      <c r="M3" s="3"/>
    </row>
    <row r="4" spans="1:14" ht="19.5" customHeight="1">
      <c r="A4" s="376" t="s">
        <v>33</v>
      </c>
      <c r="B4" s="734" t="s">
        <v>127</v>
      </c>
      <c r="C4" s="742"/>
      <c r="D4" s="742"/>
      <c r="E4" s="742"/>
      <c r="F4" s="742"/>
      <c r="G4" s="742"/>
      <c r="H4" s="742"/>
      <c r="I4" s="742"/>
      <c r="J4" s="102"/>
      <c r="K4" s="743"/>
      <c r="L4" s="743"/>
      <c r="M4" s="3"/>
    </row>
    <row r="5" spans="1:14" ht="26.25" customHeight="1">
      <c r="A5" s="21" t="s">
        <v>54</v>
      </c>
      <c r="B5" s="21" t="s">
        <v>69</v>
      </c>
      <c r="C5" s="737" t="s">
        <v>46</v>
      </c>
      <c r="D5" s="737"/>
      <c r="E5" s="737"/>
      <c r="F5" s="737"/>
      <c r="G5" s="737"/>
      <c r="H5" s="737"/>
      <c r="I5" s="737"/>
      <c r="J5" s="102"/>
      <c r="K5" s="739"/>
      <c r="L5" s="739"/>
      <c r="M5" s="3"/>
    </row>
    <row r="6" spans="1:14" ht="18.75" customHeight="1">
      <c r="A6" s="64" t="s">
        <v>34</v>
      </c>
      <c r="B6" s="64" t="s">
        <v>65</v>
      </c>
      <c r="C6" s="736" t="s">
        <v>100</v>
      </c>
      <c r="D6" s="736"/>
      <c r="E6" s="736"/>
      <c r="F6" s="736"/>
      <c r="G6" s="736"/>
      <c r="H6" s="736"/>
      <c r="I6" s="736"/>
      <c r="J6" s="102"/>
      <c r="K6" s="104"/>
      <c r="L6" s="104"/>
      <c r="M6" s="3"/>
    </row>
    <row r="7" spans="1:14" ht="18.75" customHeight="1">
      <c r="A7" s="74" t="s">
        <v>101</v>
      </c>
      <c r="B7" s="66" t="str">
        <f t="shared" ref="B7:B13" si="0">B6</f>
        <v>00.00.00</v>
      </c>
      <c r="C7" s="235" t="s">
        <v>129</v>
      </c>
      <c r="D7" s="83" t="s">
        <v>325</v>
      </c>
      <c r="E7" s="236">
        <v>1</v>
      </c>
      <c r="F7" s="380">
        <f>I7</f>
        <v>1</v>
      </c>
      <c r="G7" s="236">
        <v>2000</v>
      </c>
      <c r="H7" s="389">
        <f>G7*F7</f>
        <v>2000</v>
      </c>
      <c r="I7" s="236">
        <f t="shared" ref="I7:I13" si="1">E7</f>
        <v>1</v>
      </c>
      <c r="J7" s="102"/>
      <c r="K7" s="104"/>
      <c r="L7" s="104"/>
      <c r="M7" s="3"/>
      <c r="N7" s="399">
        <f>H7</f>
        <v>2000</v>
      </c>
    </row>
    <row r="8" spans="1:14" ht="40.5" customHeight="1">
      <c r="A8" s="74" t="s">
        <v>102</v>
      </c>
      <c r="B8" s="66" t="str">
        <f t="shared" si="0"/>
        <v>00.00.00</v>
      </c>
      <c r="C8" s="235" t="s">
        <v>174</v>
      </c>
      <c r="D8" s="83" t="s">
        <v>325</v>
      </c>
      <c r="E8" s="236">
        <v>1</v>
      </c>
      <c r="F8" s="380">
        <f>I8</f>
        <v>1</v>
      </c>
      <c r="G8" s="236">
        <v>800</v>
      </c>
      <c r="H8" s="389">
        <f>G8*F8</f>
        <v>800</v>
      </c>
      <c r="I8" s="236">
        <f t="shared" si="1"/>
        <v>1</v>
      </c>
      <c r="J8" s="102"/>
      <c r="K8" s="104"/>
      <c r="L8" s="104"/>
      <c r="M8" s="3"/>
      <c r="N8" s="399">
        <f t="shared" ref="N8:N65" si="2">H8</f>
        <v>800</v>
      </c>
    </row>
    <row r="9" spans="1:14" ht="28.5" customHeight="1">
      <c r="A9" s="74" t="s">
        <v>103</v>
      </c>
      <c r="B9" s="66" t="str">
        <f t="shared" si="0"/>
        <v>00.00.00</v>
      </c>
      <c r="C9" s="67" t="s">
        <v>406</v>
      </c>
      <c r="D9" s="103" t="s">
        <v>325</v>
      </c>
      <c r="E9" s="68">
        <v>1</v>
      </c>
      <c r="F9" s="68"/>
      <c r="G9" s="68"/>
      <c r="H9" s="390"/>
      <c r="I9" s="68">
        <f t="shared" si="1"/>
        <v>1</v>
      </c>
      <c r="J9" s="102"/>
      <c r="K9" s="104"/>
      <c r="L9" s="104"/>
      <c r="M9" s="3"/>
      <c r="N9" s="399">
        <f t="shared" si="2"/>
        <v>0</v>
      </c>
    </row>
    <row r="10" spans="1:14" ht="38.25" customHeight="1">
      <c r="A10" s="74" t="s">
        <v>104</v>
      </c>
      <c r="B10" s="66" t="str">
        <f t="shared" si="0"/>
        <v>00.00.00</v>
      </c>
      <c r="C10" s="67" t="s">
        <v>200</v>
      </c>
      <c r="D10" s="103" t="s">
        <v>325</v>
      </c>
      <c r="E10" s="68">
        <v>1</v>
      </c>
      <c r="F10" s="68"/>
      <c r="G10" s="68"/>
      <c r="H10" s="390"/>
      <c r="I10" s="68">
        <f t="shared" si="1"/>
        <v>1</v>
      </c>
      <c r="J10" s="102"/>
      <c r="K10" s="104"/>
      <c r="L10" s="104"/>
      <c r="M10" s="3"/>
      <c r="N10" s="399">
        <f t="shared" si="2"/>
        <v>0</v>
      </c>
    </row>
    <row r="11" spans="1:14" ht="28.5" customHeight="1">
      <c r="A11" s="74" t="s">
        <v>105</v>
      </c>
      <c r="B11" s="66" t="str">
        <f>B10</f>
        <v>00.00.00</v>
      </c>
      <c r="C11" s="67" t="s">
        <v>327</v>
      </c>
      <c r="D11" s="103" t="s">
        <v>325</v>
      </c>
      <c r="E11" s="68">
        <v>1</v>
      </c>
      <c r="F11" s="68"/>
      <c r="G11" s="68"/>
      <c r="H11" s="390"/>
      <c r="I11" s="68">
        <f t="shared" si="1"/>
        <v>1</v>
      </c>
      <c r="J11" s="102"/>
      <c r="K11" s="104"/>
      <c r="L11" s="104"/>
      <c r="M11" s="3"/>
      <c r="N11" s="399">
        <f t="shared" si="2"/>
        <v>0</v>
      </c>
    </row>
    <row r="12" spans="1:14" ht="28.5" customHeight="1">
      <c r="A12" s="74" t="s">
        <v>106</v>
      </c>
      <c r="B12" s="66" t="str">
        <f t="shared" si="0"/>
        <v>00.00.00</v>
      </c>
      <c r="C12" s="67" t="s">
        <v>328</v>
      </c>
      <c r="D12" s="103" t="s">
        <v>325</v>
      </c>
      <c r="E12" s="68">
        <v>1</v>
      </c>
      <c r="F12" s="68"/>
      <c r="G12" s="68"/>
      <c r="H12" s="390"/>
      <c r="I12" s="68">
        <f t="shared" si="1"/>
        <v>1</v>
      </c>
      <c r="J12" s="102"/>
      <c r="K12" s="104"/>
      <c r="L12" s="104"/>
      <c r="M12" s="3"/>
      <c r="N12" s="399">
        <f t="shared" si="2"/>
        <v>0</v>
      </c>
    </row>
    <row r="13" spans="1:14" ht="69.75" customHeight="1">
      <c r="A13" s="74" t="s">
        <v>106</v>
      </c>
      <c r="B13" s="66" t="str">
        <f t="shared" si="0"/>
        <v>00.00.00</v>
      </c>
      <c r="C13" s="67" t="s">
        <v>407</v>
      </c>
      <c r="D13" s="103" t="s">
        <v>325</v>
      </c>
      <c r="E13" s="68">
        <v>1</v>
      </c>
      <c r="F13" s="68"/>
      <c r="G13" s="68"/>
      <c r="H13" s="390"/>
      <c r="I13" s="68">
        <f t="shared" si="1"/>
        <v>1</v>
      </c>
      <c r="J13" s="102"/>
      <c r="K13" s="104"/>
      <c r="L13" s="104"/>
      <c r="M13" s="3"/>
      <c r="N13" s="399">
        <f t="shared" si="2"/>
        <v>0</v>
      </c>
    </row>
    <row r="14" spans="1:14" ht="24.75" customHeight="1">
      <c r="A14" s="731" t="s">
        <v>658</v>
      </c>
      <c r="B14" s="731"/>
      <c r="C14" s="731"/>
      <c r="D14" s="731"/>
      <c r="E14" s="731"/>
      <c r="F14" s="731"/>
      <c r="G14" s="731"/>
      <c r="H14" s="401">
        <f>H8+H7</f>
        <v>2800</v>
      </c>
      <c r="I14" s="402">
        <f>SUM(I5:I13)</f>
        <v>7</v>
      </c>
      <c r="J14" s="102"/>
      <c r="K14" s="104"/>
      <c r="L14" s="104"/>
      <c r="M14" s="3"/>
      <c r="N14" s="399"/>
    </row>
    <row r="15" spans="1:14" ht="21.75" customHeight="1">
      <c r="A15" s="733" t="s">
        <v>655</v>
      </c>
      <c r="B15" s="733"/>
      <c r="C15" s="733"/>
      <c r="D15" s="733"/>
      <c r="E15" s="733"/>
      <c r="F15" s="733"/>
      <c r="G15" s="733"/>
      <c r="H15" s="403">
        <f>H14</f>
        <v>2800</v>
      </c>
      <c r="I15" s="404">
        <f>I14</f>
        <v>7</v>
      </c>
      <c r="J15" s="102"/>
      <c r="K15" s="104"/>
      <c r="L15" s="104"/>
      <c r="M15" s="3"/>
      <c r="N15" s="399"/>
    </row>
    <row r="16" spans="1:14" ht="20.25" customHeight="1">
      <c r="A16" s="376" t="s">
        <v>37</v>
      </c>
      <c r="B16" s="734" t="s">
        <v>568</v>
      </c>
      <c r="C16" s="742"/>
      <c r="D16" s="742"/>
      <c r="E16" s="742"/>
      <c r="F16" s="742"/>
      <c r="G16" s="742"/>
      <c r="H16" s="742"/>
      <c r="I16" s="742"/>
      <c r="J16" s="102"/>
      <c r="K16" s="743"/>
      <c r="L16" s="743"/>
      <c r="M16" s="3"/>
      <c r="N16" s="399">
        <f t="shared" si="2"/>
        <v>0</v>
      </c>
    </row>
    <row r="17" spans="1:15" s="1" customFormat="1" ht="27" customHeight="1">
      <c r="A17" s="21" t="s">
        <v>56</v>
      </c>
      <c r="B17" s="21" t="s">
        <v>55</v>
      </c>
      <c r="C17" s="737" t="s">
        <v>175</v>
      </c>
      <c r="D17" s="737"/>
      <c r="E17" s="737"/>
      <c r="F17" s="737"/>
      <c r="G17" s="737"/>
      <c r="H17" s="737"/>
      <c r="I17" s="737"/>
      <c r="J17" s="105"/>
      <c r="K17" s="739"/>
      <c r="L17" s="739"/>
      <c r="N17" s="399">
        <f t="shared" si="2"/>
        <v>0</v>
      </c>
    </row>
    <row r="18" spans="1:15" ht="18" hidden="1" customHeight="1">
      <c r="A18" s="64" t="s">
        <v>34</v>
      </c>
      <c r="B18" s="73" t="s">
        <v>13</v>
      </c>
      <c r="C18" s="736" t="s">
        <v>107</v>
      </c>
      <c r="D18" s="736"/>
      <c r="E18" s="740"/>
      <c r="F18" s="740"/>
      <c r="G18" s="740"/>
      <c r="H18" s="740"/>
      <c r="I18" s="740"/>
      <c r="J18" s="102"/>
      <c r="K18" s="738"/>
      <c r="L18" s="738"/>
      <c r="M18" s="3"/>
      <c r="N18" s="399">
        <f t="shared" si="2"/>
        <v>0</v>
      </c>
    </row>
    <row r="19" spans="1:15" s="14" customFormat="1" ht="18.75" hidden="1" customHeight="1">
      <c r="A19" s="74">
        <v>2</v>
      </c>
      <c r="B19" s="75" t="s">
        <v>131</v>
      </c>
      <c r="C19" s="76" t="s">
        <v>202</v>
      </c>
      <c r="D19" s="74" t="s">
        <v>197</v>
      </c>
      <c r="E19" s="78" t="s">
        <v>34</v>
      </c>
      <c r="F19" s="381"/>
      <c r="G19" s="78"/>
      <c r="H19" s="391"/>
      <c r="I19" s="78">
        <f>SUM(E20:E20)</f>
        <v>0.4</v>
      </c>
      <c r="J19" s="237"/>
      <c r="K19" s="35">
        <v>3524.44</v>
      </c>
      <c r="L19" s="35">
        <f>K19*I19</f>
        <v>1409.78</v>
      </c>
      <c r="M19" s="1"/>
      <c r="N19" s="399">
        <f t="shared" si="2"/>
        <v>0</v>
      </c>
    </row>
    <row r="20" spans="1:15" ht="71.25" hidden="1" customHeight="1">
      <c r="A20" s="74"/>
      <c r="B20" s="79"/>
      <c r="C20" s="80" t="s">
        <v>509</v>
      </c>
      <c r="D20" s="81" t="s">
        <v>197</v>
      </c>
      <c r="E20" s="82">
        <f>(205+(452-257))/1000</f>
        <v>0.4</v>
      </c>
      <c r="F20" s="382"/>
      <c r="G20" s="82"/>
      <c r="H20" s="392"/>
      <c r="I20" s="83" t="s">
        <v>34</v>
      </c>
      <c r="J20" s="102"/>
      <c r="K20" s="35"/>
      <c r="L20" s="35"/>
      <c r="M20" s="3"/>
      <c r="N20" s="399">
        <f t="shared" si="2"/>
        <v>0</v>
      </c>
    </row>
    <row r="21" spans="1:15" ht="16.5" hidden="1" customHeight="1">
      <c r="A21" s="64" t="s">
        <v>34</v>
      </c>
      <c r="B21" s="324" t="s">
        <v>408</v>
      </c>
      <c r="C21" s="736" t="s">
        <v>409</v>
      </c>
      <c r="D21" s="736"/>
      <c r="E21" s="740"/>
      <c r="F21" s="740"/>
      <c r="G21" s="740"/>
      <c r="H21" s="740"/>
      <c r="I21" s="740"/>
      <c r="J21" s="102"/>
      <c r="K21" s="35"/>
      <c r="L21" s="35"/>
      <c r="M21" s="3"/>
      <c r="N21" s="399">
        <f t="shared" si="2"/>
        <v>0</v>
      </c>
    </row>
    <row r="22" spans="1:15" ht="19.5" hidden="1" customHeight="1">
      <c r="A22" s="74">
        <v>3</v>
      </c>
      <c r="B22" s="75" t="s">
        <v>411</v>
      </c>
      <c r="C22" s="76" t="s">
        <v>410</v>
      </c>
      <c r="D22" s="74" t="s">
        <v>12</v>
      </c>
      <c r="E22" s="78" t="s">
        <v>34</v>
      </c>
      <c r="F22" s="381"/>
      <c r="G22" s="78"/>
      <c r="H22" s="391"/>
      <c r="I22" s="78">
        <f>SUM(E23:E23)</f>
        <v>6</v>
      </c>
      <c r="J22" s="102"/>
      <c r="K22" s="35"/>
      <c r="L22" s="35"/>
      <c r="M22" s="3"/>
      <c r="N22" s="399">
        <f t="shared" si="2"/>
        <v>0</v>
      </c>
    </row>
    <row r="23" spans="1:15" ht="64.5" hidden="1" customHeight="1">
      <c r="A23" s="74"/>
      <c r="B23" s="79"/>
      <c r="C23" s="80" t="s">
        <v>414</v>
      </c>
      <c r="D23" s="81" t="s">
        <v>12</v>
      </c>
      <c r="E23" s="82">
        <v>6</v>
      </c>
      <c r="F23" s="382"/>
      <c r="G23" s="82"/>
      <c r="H23" s="392"/>
      <c r="I23" s="83" t="s">
        <v>34</v>
      </c>
      <c r="J23" s="102"/>
      <c r="K23" s="35"/>
      <c r="L23" s="35"/>
      <c r="M23" s="3"/>
      <c r="N23" s="399">
        <f t="shared" si="2"/>
        <v>0</v>
      </c>
    </row>
    <row r="24" spans="1:15" ht="19.5" hidden="1" customHeight="1">
      <c r="A24" s="74">
        <v>4</v>
      </c>
      <c r="B24" s="75" t="s">
        <v>412</v>
      </c>
      <c r="C24" s="76" t="s">
        <v>413</v>
      </c>
      <c r="D24" s="74" t="s">
        <v>176</v>
      </c>
      <c r="E24" s="78" t="s">
        <v>34</v>
      </c>
      <c r="F24" s="381"/>
      <c r="G24" s="78"/>
      <c r="H24" s="391"/>
      <c r="I24" s="78">
        <f>SUM(E25:E25)</f>
        <v>12</v>
      </c>
      <c r="J24" s="102"/>
      <c r="K24" s="35"/>
      <c r="L24" s="35"/>
      <c r="M24" s="3"/>
      <c r="N24" s="399">
        <f t="shared" si="2"/>
        <v>0</v>
      </c>
    </row>
    <row r="25" spans="1:15" ht="60.75" hidden="1" customHeight="1">
      <c r="A25" s="74"/>
      <c r="B25" s="79"/>
      <c r="C25" s="80" t="s">
        <v>415</v>
      </c>
      <c r="D25" s="81" t="s">
        <v>177</v>
      </c>
      <c r="E25" s="82">
        <v>12</v>
      </c>
      <c r="F25" s="382"/>
      <c r="G25" s="82"/>
      <c r="H25" s="392"/>
      <c r="I25" s="83" t="s">
        <v>34</v>
      </c>
      <c r="J25" s="102"/>
      <c r="K25" s="35"/>
      <c r="L25" s="35"/>
      <c r="M25" s="3"/>
      <c r="N25" s="399">
        <f t="shared" si="2"/>
        <v>0</v>
      </c>
    </row>
    <row r="26" spans="1:15" ht="18" hidden="1" customHeight="1">
      <c r="A26" s="64" t="s">
        <v>34</v>
      </c>
      <c r="B26" s="64" t="s">
        <v>14</v>
      </c>
      <c r="C26" s="736" t="s">
        <v>108</v>
      </c>
      <c r="D26" s="736"/>
      <c r="E26" s="736"/>
      <c r="F26" s="736"/>
      <c r="G26" s="736"/>
      <c r="H26" s="736"/>
      <c r="I26" s="736"/>
      <c r="J26" s="102"/>
      <c r="K26" s="738"/>
      <c r="L26" s="738"/>
      <c r="M26" s="3"/>
      <c r="N26" s="399">
        <f t="shared" si="2"/>
        <v>0</v>
      </c>
    </row>
    <row r="27" spans="1:15" s="14" customFormat="1" ht="28.5" hidden="1" customHeight="1">
      <c r="A27" s="74">
        <v>5</v>
      </c>
      <c r="B27" s="75" t="s">
        <v>418</v>
      </c>
      <c r="C27" s="76" t="s">
        <v>417</v>
      </c>
      <c r="D27" s="74" t="s">
        <v>176</v>
      </c>
      <c r="E27" s="78" t="s">
        <v>34</v>
      </c>
      <c r="F27" s="381"/>
      <c r="G27" s="78"/>
      <c r="H27" s="391"/>
      <c r="I27" s="78">
        <f>E28</f>
        <v>1400</v>
      </c>
      <c r="J27" s="105"/>
      <c r="K27" s="35">
        <v>0.48</v>
      </c>
      <c r="L27" s="35">
        <f>K27*I27</f>
        <v>672</v>
      </c>
      <c r="M27" s="1"/>
      <c r="N27" s="399">
        <f t="shared" si="2"/>
        <v>0</v>
      </c>
    </row>
    <row r="28" spans="1:15" ht="68.25" hidden="1" customHeight="1">
      <c r="A28" s="74"/>
      <c r="B28" s="79"/>
      <c r="C28" s="80" t="s">
        <v>419</v>
      </c>
      <c r="D28" s="81" t="s">
        <v>177</v>
      </c>
      <c r="E28" s="82">
        <f>(205+(452-257))*3.5</f>
        <v>1400</v>
      </c>
      <c r="F28" s="382"/>
      <c r="G28" s="82"/>
      <c r="H28" s="392"/>
      <c r="I28" s="82" t="s">
        <v>34</v>
      </c>
      <c r="J28" s="102"/>
      <c r="K28" s="35"/>
      <c r="L28" s="35"/>
      <c r="M28" s="3"/>
      <c r="N28" s="399">
        <f t="shared" si="2"/>
        <v>0</v>
      </c>
    </row>
    <row r="29" spans="1:15" ht="31.5" hidden="1" customHeight="1">
      <c r="A29" s="74">
        <v>5</v>
      </c>
      <c r="B29" s="75" t="s">
        <v>226</v>
      </c>
      <c r="C29" s="76" t="s">
        <v>421</v>
      </c>
      <c r="D29" s="74" t="s">
        <v>176</v>
      </c>
      <c r="E29" s="78" t="s">
        <v>34</v>
      </c>
      <c r="F29" s="381"/>
      <c r="G29" s="78"/>
      <c r="H29" s="391"/>
      <c r="I29" s="78">
        <f>E30</f>
        <v>0</v>
      </c>
      <c r="J29" s="102"/>
      <c r="K29" s="35"/>
      <c r="L29" s="35"/>
      <c r="M29" s="3"/>
      <c r="N29" s="399">
        <f t="shared" si="2"/>
        <v>0</v>
      </c>
      <c r="O29" s="284"/>
    </row>
    <row r="30" spans="1:15" ht="61.5" hidden="1" customHeight="1">
      <c r="A30" s="74"/>
      <c r="B30" s="79"/>
      <c r="C30" s="80" t="s">
        <v>422</v>
      </c>
      <c r="D30" s="81" t="s">
        <v>177</v>
      </c>
      <c r="E30" s="82">
        <v>0</v>
      </c>
      <c r="F30" s="413"/>
      <c r="G30" s="82"/>
      <c r="H30" s="392"/>
      <c r="I30" s="82" t="s">
        <v>34</v>
      </c>
      <c r="J30" s="102"/>
      <c r="K30" s="35"/>
      <c r="L30" s="35"/>
      <c r="M30" s="3"/>
      <c r="N30" s="399">
        <f t="shared" si="2"/>
        <v>0</v>
      </c>
    </row>
    <row r="31" spans="1:15" ht="54" customHeight="1">
      <c r="A31" s="64" t="s">
        <v>34</v>
      </c>
      <c r="B31" s="64" t="s">
        <v>15</v>
      </c>
      <c r="C31" s="736" t="s">
        <v>671</v>
      </c>
      <c r="D31" s="736"/>
      <c r="E31" s="741"/>
      <c r="F31" s="736"/>
      <c r="G31" s="736"/>
      <c r="H31" s="736"/>
      <c r="I31" s="736"/>
      <c r="J31" s="102"/>
      <c r="K31" s="738"/>
      <c r="L31" s="738"/>
      <c r="M31" s="3"/>
      <c r="N31" s="399">
        <f t="shared" si="2"/>
        <v>0</v>
      </c>
    </row>
    <row r="32" spans="1:15" ht="18" customHeight="1">
      <c r="A32" s="74">
        <v>2</v>
      </c>
      <c r="B32" s="75" t="s">
        <v>30</v>
      </c>
      <c r="C32" s="76" t="s">
        <v>672</v>
      </c>
      <c r="D32" s="74" t="s">
        <v>176</v>
      </c>
      <c r="E32" s="78" t="s">
        <v>34</v>
      </c>
      <c r="F32" s="380">
        <f t="shared" ref="F32:F53" si="3">I32</f>
        <v>624.29</v>
      </c>
      <c r="G32" s="78">
        <v>12.5</v>
      </c>
      <c r="H32" s="391">
        <f>G32*F32</f>
        <v>7803.63</v>
      </c>
      <c r="I32" s="78">
        <f>SUM(E33)</f>
        <v>624.29</v>
      </c>
      <c r="J32" s="102"/>
      <c r="K32" s="375"/>
      <c r="L32" s="416"/>
      <c r="M32" s="418"/>
      <c r="N32" s="399">
        <f t="shared" si="2"/>
        <v>7803.63</v>
      </c>
    </row>
    <row r="33" spans="1:180" ht="72.75" hidden="1" customHeight="1">
      <c r="A33" s="74"/>
      <c r="B33" s="79"/>
      <c r="C33" s="80" t="s">
        <v>620</v>
      </c>
      <c r="D33" s="81" t="s">
        <v>177</v>
      </c>
      <c r="E33" s="82">
        <f>583.45*1.07</f>
        <v>624.29</v>
      </c>
      <c r="F33" s="380" t="str">
        <f t="shared" si="3"/>
        <v>x</v>
      </c>
      <c r="G33" s="82"/>
      <c r="H33" s="392"/>
      <c r="I33" s="82" t="s">
        <v>34</v>
      </c>
      <c r="J33" s="102"/>
      <c r="K33" s="262"/>
      <c r="L33" s="262"/>
      <c r="M33" s="3"/>
      <c r="N33" s="399">
        <f t="shared" si="2"/>
        <v>0</v>
      </c>
    </row>
    <row r="34" spans="1:180" ht="63.75" hidden="1">
      <c r="A34" s="378" t="s">
        <v>35</v>
      </c>
      <c r="B34" s="72" t="str">
        <f>B32</f>
        <v>01.02.04.11</v>
      </c>
      <c r="C34" s="69" t="s">
        <v>621</v>
      </c>
      <c r="D34" s="70" t="s">
        <v>178</v>
      </c>
      <c r="E34" s="71">
        <f>E33*0.2</f>
        <v>124.86</v>
      </c>
      <c r="F34" s="380">
        <f t="shared" si="3"/>
        <v>124.86</v>
      </c>
      <c r="G34" s="71"/>
      <c r="H34" s="390"/>
      <c r="I34" s="71">
        <f>E34</f>
        <v>124.86</v>
      </c>
      <c r="J34" s="102"/>
      <c r="K34" s="262"/>
      <c r="L34" s="262"/>
      <c r="M34" s="3"/>
      <c r="N34" s="399">
        <f t="shared" si="2"/>
        <v>0</v>
      </c>
    </row>
    <row r="35" spans="1:180" s="14" customFormat="1" ht="19.5" hidden="1" customHeight="1">
      <c r="A35" s="74">
        <v>7</v>
      </c>
      <c r="B35" s="75" t="s">
        <v>109</v>
      </c>
      <c r="C35" s="76" t="s">
        <v>428</v>
      </c>
      <c r="D35" s="74" t="s">
        <v>176</v>
      </c>
      <c r="E35" s="78" t="s">
        <v>34</v>
      </c>
      <c r="F35" s="380">
        <f t="shared" si="3"/>
        <v>191.95</v>
      </c>
      <c r="G35" s="78"/>
      <c r="H35" s="391"/>
      <c r="I35" s="78">
        <f>SUM(E36)</f>
        <v>191.95</v>
      </c>
      <c r="J35" s="105"/>
      <c r="K35" s="35">
        <v>13.88</v>
      </c>
      <c r="L35" s="35">
        <f>K35*I35</f>
        <v>2664.27</v>
      </c>
      <c r="M35" s="1"/>
      <c r="N35" s="399">
        <f t="shared" si="2"/>
        <v>0</v>
      </c>
    </row>
    <row r="36" spans="1:180" ht="33" hidden="1" customHeight="1">
      <c r="A36" s="270"/>
      <c r="B36" s="272"/>
      <c r="C36" s="273" t="s">
        <v>429</v>
      </c>
      <c r="D36" s="274" t="s">
        <v>674</v>
      </c>
      <c r="E36" s="275">
        <f>191.95</f>
        <v>191.95</v>
      </c>
      <c r="F36" s="420" t="str">
        <f t="shared" si="3"/>
        <v>x</v>
      </c>
      <c r="G36" s="82"/>
      <c r="H36" s="392"/>
      <c r="I36" s="82" t="s">
        <v>34</v>
      </c>
      <c r="J36" s="102"/>
      <c r="K36" s="35"/>
      <c r="L36" s="35"/>
      <c r="M36" s="3"/>
      <c r="N36" s="399">
        <f t="shared" si="2"/>
        <v>0</v>
      </c>
    </row>
    <row r="37" spans="1:180" s="15" customFormat="1" ht="40.5" hidden="1" customHeight="1">
      <c r="A37" s="421" t="s">
        <v>132</v>
      </c>
      <c r="B37" s="279" t="str">
        <f>B35</f>
        <v>01.02.04.21</v>
      </c>
      <c r="C37" s="280" t="s">
        <v>430</v>
      </c>
      <c r="D37" s="281" t="s">
        <v>675</v>
      </c>
      <c r="E37" s="282">
        <f>E36*0.15</f>
        <v>28.79</v>
      </c>
      <c r="F37" s="420">
        <f t="shared" si="3"/>
        <v>28.79</v>
      </c>
      <c r="G37" s="71"/>
      <c r="H37" s="390"/>
      <c r="I37" s="71">
        <f>0.15*I35</f>
        <v>28.79</v>
      </c>
      <c r="J37" s="84"/>
      <c r="K37" s="36"/>
      <c r="L37" s="36"/>
      <c r="M37" s="8"/>
      <c r="N37" s="399">
        <f t="shared" si="2"/>
        <v>0</v>
      </c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</row>
    <row r="38" spans="1:180" s="15" customFormat="1" ht="20.25" customHeight="1">
      <c r="A38" s="270">
        <v>3</v>
      </c>
      <c r="B38" s="107" t="s">
        <v>31</v>
      </c>
      <c r="C38" s="269" t="s">
        <v>431</v>
      </c>
      <c r="D38" s="270" t="s">
        <v>673</v>
      </c>
      <c r="E38" s="202" t="s">
        <v>34</v>
      </c>
      <c r="F38" s="420">
        <f t="shared" si="3"/>
        <v>53.22</v>
      </c>
      <c r="G38" s="78">
        <v>14.6</v>
      </c>
      <c r="H38" s="391">
        <f t="shared" ref="H38:H52" si="4">G38*F38</f>
        <v>777.01</v>
      </c>
      <c r="I38" s="78">
        <f>SUM(E39)</f>
        <v>53.22</v>
      </c>
      <c r="J38" s="84"/>
      <c r="K38" s="36"/>
      <c r="L38" s="36"/>
      <c r="M38" s="8"/>
      <c r="N38" s="399">
        <f t="shared" si="2"/>
        <v>777.01</v>
      </c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</row>
    <row r="39" spans="1:180" s="15" customFormat="1" ht="45.75" hidden="1" customHeight="1">
      <c r="A39" s="74"/>
      <c r="B39" s="79"/>
      <c r="C39" s="80" t="s">
        <v>614</v>
      </c>
      <c r="D39" s="81" t="s">
        <v>177</v>
      </c>
      <c r="E39" s="82">
        <f>'1.2.3. Zjazdy indywidualne'!N26-'1.2.3. Zjazdy indywidualne'!N24</f>
        <v>53.22</v>
      </c>
      <c r="F39" s="420" t="str">
        <f t="shared" si="3"/>
        <v>x</v>
      </c>
      <c r="G39" s="82"/>
      <c r="H39" s="391" t="e">
        <f t="shared" si="4"/>
        <v>#VALUE!</v>
      </c>
      <c r="I39" s="82" t="s">
        <v>34</v>
      </c>
      <c r="J39" s="84"/>
      <c r="K39" s="36"/>
      <c r="L39" s="36"/>
      <c r="M39" s="8"/>
      <c r="N39" s="399" t="e">
        <f t="shared" si="2"/>
        <v>#VALUE!</v>
      </c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</row>
    <row r="40" spans="1:180" s="15" customFormat="1" ht="39.75" hidden="1" customHeight="1">
      <c r="A40" s="378" t="s">
        <v>133</v>
      </c>
      <c r="B40" s="72" t="str">
        <f>B38</f>
        <v>01.02.04.22</v>
      </c>
      <c r="C40" s="69" t="s">
        <v>615</v>
      </c>
      <c r="D40" s="70" t="s">
        <v>178</v>
      </c>
      <c r="E40" s="282">
        <f>E39*0.05</f>
        <v>2.66</v>
      </c>
      <c r="F40" s="380">
        <f t="shared" si="3"/>
        <v>2.66</v>
      </c>
      <c r="G40" s="71"/>
      <c r="H40" s="391">
        <f t="shared" si="4"/>
        <v>0</v>
      </c>
      <c r="I40" s="71">
        <f>E40</f>
        <v>2.66</v>
      </c>
      <c r="J40" s="84"/>
      <c r="K40" s="36"/>
      <c r="L40" s="36"/>
      <c r="M40" s="8"/>
      <c r="N40" s="399">
        <f t="shared" si="2"/>
        <v>0</v>
      </c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</row>
    <row r="41" spans="1:180" s="15" customFormat="1" ht="18" customHeight="1">
      <c r="A41" s="74">
        <v>4</v>
      </c>
      <c r="B41" s="75" t="s">
        <v>135</v>
      </c>
      <c r="C41" s="76" t="s">
        <v>434</v>
      </c>
      <c r="D41" s="74" t="s">
        <v>176</v>
      </c>
      <c r="E41" s="202" t="s">
        <v>34</v>
      </c>
      <c r="F41" s="380">
        <f t="shared" si="3"/>
        <v>624.29</v>
      </c>
      <c r="G41" s="78">
        <v>10.25</v>
      </c>
      <c r="H41" s="391">
        <f t="shared" si="4"/>
        <v>6398.97</v>
      </c>
      <c r="I41" s="78">
        <f>SUM(E42)</f>
        <v>624.29</v>
      </c>
      <c r="J41" s="84"/>
      <c r="K41" s="36"/>
      <c r="L41" s="36"/>
      <c r="M41" s="8"/>
      <c r="N41" s="399">
        <f t="shared" si="2"/>
        <v>6398.97</v>
      </c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</row>
    <row r="42" spans="1:180" s="15" customFormat="1" ht="87.75" hidden="1" customHeight="1">
      <c r="A42" s="74"/>
      <c r="B42" s="79"/>
      <c r="C42" s="80" t="s">
        <v>651</v>
      </c>
      <c r="D42" s="81" t="s">
        <v>177</v>
      </c>
      <c r="E42" s="82">
        <v>624.29</v>
      </c>
      <c r="F42" s="380" t="str">
        <f t="shared" si="3"/>
        <v>x</v>
      </c>
      <c r="G42" s="82"/>
      <c r="H42" s="391" t="e">
        <f t="shared" si="4"/>
        <v>#VALUE!</v>
      </c>
      <c r="I42" s="82" t="s">
        <v>34</v>
      </c>
      <c r="J42" s="84"/>
      <c r="K42" s="36"/>
      <c r="L42" s="36"/>
      <c r="M42" s="8"/>
      <c r="N42" s="399" t="e">
        <f t="shared" si="2"/>
        <v>#VALUE!</v>
      </c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</row>
    <row r="43" spans="1:180" s="15" customFormat="1" ht="73.5" hidden="1" customHeight="1">
      <c r="A43" s="378" t="s">
        <v>134</v>
      </c>
      <c r="B43" s="72" t="str">
        <f>B41</f>
        <v>01.02.04.24</v>
      </c>
      <c r="C43" s="69" t="s">
        <v>622</v>
      </c>
      <c r="D43" s="70" t="s">
        <v>178</v>
      </c>
      <c r="E43" s="71">
        <f>E42*0.06</f>
        <v>37.46</v>
      </c>
      <c r="F43" s="380">
        <f t="shared" si="3"/>
        <v>37.46</v>
      </c>
      <c r="G43" s="71"/>
      <c r="H43" s="391">
        <f t="shared" si="4"/>
        <v>0</v>
      </c>
      <c r="I43" s="71">
        <f>E43</f>
        <v>37.46</v>
      </c>
      <c r="J43" s="84"/>
      <c r="K43" s="36"/>
      <c r="L43" s="36"/>
      <c r="M43" s="8"/>
      <c r="N43" s="399">
        <f t="shared" si="2"/>
        <v>0</v>
      </c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</row>
    <row r="44" spans="1:180" s="15" customFormat="1" ht="21" hidden="1" customHeight="1">
      <c r="A44" s="74">
        <v>10</v>
      </c>
      <c r="B44" s="75" t="s">
        <v>437</v>
      </c>
      <c r="C44" s="76" t="s">
        <v>438</v>
      </c>
      <c r="D44" s="74" t="s">
        <v>176</v>
      </c>
      <c r="E44" s="78" t="s">
        <v>34</v>
      </c>
      <c r="F44" s="380">
        <f t="shared" si="3"/>
        <v>18</v>
      </c>
      <c r="G44" s="78"/>
      <c r="H44" s="391">
        <f t="shared" si="4"/>
        <v>0</v>
      </c>
      <c r="I44" s="78">
        <f>SUM(E45)</f>
        <v>18</v>
      </c>
      <c r="J44" s="84"/>
      <c r="K44" s="36"/>
      <c r="L44" s="36"/>
      <c r="M44" s="8"/>
      <c r="N44" s="399">
        <f t="shared" si="2"/>
        <v>0</v>
      </c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</row>
    <row r="45" spans="1:180" s="15" customFormat="1" ht="42.75" hidden="1" customHeight="1">
      <c r="A45" s="74"/>
      <c r="B45" s="79"/>
      <c r="C45" s="80" t="s">
        <v>439</v>
      </c>
      <c r="D45" s="81" t="s">
        <v>177</v>
      </c>
      <c r="E45" s="82">
        <f>18</f>
        <v>18</v>
      </c>
      <c r="F45" s="420" t="str">
        <f t="shared" si="3"/>
        <v>x</v>
      </c>
      <c r="G45" s="82"/>
      <c r="H45" s="391" t="e">
        <f t="shared" si="4"/>
        <v>#VALUE!</v>
      </c>
      <c r="I45" s="82" t="s">
        <v>34</v>
      </c>
      <c r="J45" s="84"/>
      <c r="K45" s="36"/>
      <c r="L45" s="36"/>
      <c r="M45" s="8"/>
      <c r="N45" s="399" t="e">
        <f t="shared" si="2"/>
        <v>#VALUE!</v>
      </c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</row>
    <row r="46" spans="1:180" s="15" customFormat="1" ht="38.25" hidden="1" customHeight="1">
      <c r="A46" s="378" t="s">
        <v>36</v>
      </c>
      <c r="B46" s="72" t="str">
        <f>B44</f>
        <v>01.02.04.23</v>
      </c>
      <c r="C46" s="69" t="s">
        <v>440</v>
      </c>
      <c r="D46" s="70" t="s">
        <v>178</v>
      </c>
      <c r="E46" s="282">
        <f>E45*0.1</f>
        <v>1.8</v>
      </c>
      <c r="F46" s="380">
        <f t="shared" si="3"/>
        <v>1.8</v>
      </c>
      <c r="G46" s="71"/>
      <c r="H46" s="391">
        <f t="shared" si="4"/>
        <v>0</v>
      </c>
      <c r="I46" s="71">
        <f>E46</f>
        <v>1.8</v>
      </c>
      <c r="J46" s="84"/>
      <c r="K46" s="36"/>
      <c r="L46" s="36"/>
      <c r="M46" s="8"/>
      <c r="N46" s="399">
        <f t="shared" si="2"/>
        <v>0</v>
      </c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</row>
    <row r="47" spans="1:180" s="15" customFormat="1" ht="18" customHeight="1">
      <c r="A47" s="74">
        <v>5</v>
      </c>
      <c r="B47" s="75" t="s">
        <v>441</v>
      </c>
      <c r="C47" s="76" t="s">
        <v>617</v>
      </c>
      <c r="D47" s="74" t="s">
        <v>11</v>
      </c>
      <c r="E47" s="78" t="s">
        <v>34</v>
      </c>
      <c r="F47" s="380">
        <f t="shared" si="3"/>
        <v>713</v>
      </c>
      <c r="G47" s="78">
        <v>18.399999999999999</v>
      </c>
      <c r="H47" s="391">
        <f t="shared" si="4"/>
        <v>13119.2</v>
      </c>
      <c r="I47" s="78">
        <f>SUM(E48)</f>
        <v>713</v>
      </c>
      <c r="J47" s="84"/>
      <c r="K47" s="36"/>
      <c r="L47" s="36"/>
      <c r="M47" s="8"/>
      <c r="N47" s="399">
        <f t="shared" si="2"/>
        <v>13119.2</v>
      </c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</row>
    <row r="48" spans="1:180" s="15" customFormat="1" ht="90.75" hidden="1" customHeight="1">
      <c r="A48" s="74"/>
      <c r="B48" s="272"/>
      <c r="C48" s="80" t="s">
        <v>624</v>
      </c>
      <c r="D48" s="81" t="s">
        <v>11</v>
      </c>
      <c r="E48" s="82">
        <v>713</v>
      </c>
      <c r="F48" s="380" t="str">
        <f t="shared" si="3"/>
        <v>x</v>
      </c>
      <c r="G48" s="82"/>
      <c r="H48" s="391" t="e">
        <f t="shared" si="4"/>
        <v>#VALUE!</v>
      </c>
      <c r="I48" s="82" t="s">
        <v>34</v>
      </c>
      <c r="J48" s="84"/>
      <c r="K48" s="36"/>
      <c r="L48" s="36"/>
      <c r="M48" s="8"/>
      <c r="N48" s="399" t="e">
        <f t="shared" si="2"/>
        <v>#VALUE!</v>
      </c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</row>
    <row r="49" spans="1:181" s="15" customFormat="1" ht="69" hidden="1" customHeight="1">
      <c r="A49" s="378" t="s">
        <v>136</v>
      </c>
      <c r="B49" s="72" t="str">
        <f>B47</f>
        <v>01.02.04.41</v>
      </c>
      <c r="C49" s="69" t="s">
        <v>623</v>
      </c>
      <c r="D49" s="70" t="s">
        <v>178</v>
      </c>
      <c r="E49" s="71">
        <f>E48*0.3*0.15</f>
        <v>32.090000000000003</v>
      </c>
      <c r="F49" s="380">
        <f t="shared" si="3"/>
        <v>32.090000000000003</v>
      </c>
      <c r="G49" s="71"/>
      <c r="H49" s="391">
        <f t="shared" si="4"/>
        <v>0</v>
      </c>
      <c r="I49" s="71">
        <f>E49</f>
        <v>32.090000000000003</v>
      </c>
      <c r="J49" s="84"/>
      <c r="K49" s="36"/>
      <c r="L49" s="36"/>
      <c r="M49" s="8"/>
      <c r="N49" s="399">
        <f t="shared" si="2"/>
        <v>0</v>
      </c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</row>
    <row r="50" spans="1:181" s="15" customFormat="1" ht="18.75" customHeight="1">
      <c r="A50" s="74">
        <v>6</v>
      </c>
      <c r="B50" s="75" t="s">
        <v>32</v>
      </c>
      <c r="C50" s="76" t="s">
        <v>138</v>
      </c>
      <c r="D50" s="74" t="s">
        <v>9</v>
      </c>
      <c r="E50" s="78" t="s">
        <v>34</v>
      </c>
      <c r="F50" s="380">
        <f t="shared" si="3"/>
        <v>3</v>
      </c>
      <c r="G50" s="78">
        <v>5.5</v>
      </c>
      <c r="H50" s="391">
        <f t="shared" si="4"/>
        <v>16.5</v>
      </c>
      <c r="I50" s="78">
        <f>SUM(E51)</f>
        <v>3</v>
      </c>
      <c r="J50" s="84"/>
      <c r="K50" s="36"/>
      <c r="L50" s="36"/>
      <c r="M50" s="8"/>
      <c r="N50" s="399">
        <f t="shared" si="2"/>
        <v>16.5</v>
      </c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</row>
    <row r="51" spans="1:181" s="15" customFormat="1" ht="40.5" hidden="1" customHeight="1">
      <c r="A51" s="378"/>
      <c r="B51" s="72"/>
      <c r="C51" s="69" t="s">
        <v>616</v>
      </c>
      <c r="D51" s="70" t="s">
        <v>9</v>
      </c>
      <c r="E51" s="71">
        <v>3</v>
      </c>
      <c r="F51" s="380" t="str">
        <f t="shared" si="3"/>
        <v>x</v>
      </c>
      <c r="G51" s="71"/>
      <c r="H51" s="391" t="e">
        <f t="shared" si="4"/>
        <v>#VALUE!</v>
      </c>
      <c r="I51" s="71" t="s">
        <v>34</v>
      </c>
      <c r="J51" s="84"/>
      <c r="K51" s="36"/>
      <c r="L51" s="36"/>
      <c r="M51" s="8"/>
      <c r="N51" s="399" t="e">
        <f t="shared" si="2"/>
        <v>#VALUE!</v>
      </c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</row>
    <row r="52" spans="1:181" s="15" customFormat="1" ht="18" customHeight="1">
      <c r="A52" s="74">
        <v>7</v>
      </c>
      <c r="B52" s="75" t="s">
        <v>110</v>
      </c>
      <c r="C52" s="76" t="s">
        <v>139</v>
      </c>
      <c r="D52" s="74" t="s">
        <v>9</v>
      </c>
      <c r="E52" s="78" t="s">
        <v>34</v>
      </c>
      <c r="F52" s="380">
        <f t="shared" si="3"/>
        <v>5</v>
      </c>
      <c r="G52" s="78">
        <v>2.35</v>
      </c>
      <c r="H52" s="391">
        <f t="shared" si="4"/>
        <v>11.75</v>
      </c>
      <c r="I52" s="78">
        <f>SUM(E53)</f>
        <v>5</v>
      </c>
      <c r="J52" s="84"/>
      <c r="K52" s="36"/>
      <c r="L52" s="36"/>
      <c r="M52" s="60"/>
      <c r="N52" s="399">
        <f t="shared" si="2"/>
        <v>11.75</v>
      </c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</row>
    <row r="53" spans="1:181" s="15" customFormat="1" ht="32.25" hidden="1" customHeight="1">
      <c r="A53" s="378"/>
      <c r="B53" s="72"/>
      <c r="C53" s="69" t="s">
        <v>576</v>
      </c>
      <c r="D53" s="70" t="s">
        <v>9</v>
      </c>
      <c r="E53" s="71">
        <v>5</v>
      </c>
      <c r="F53" s="380" t="str">
        <f t="shared" si="3"/>
        <v>x</v>
      </c>
      <c r="G53" s="71"/>
      <c r="H53" s="390"/>
      <c r="I53" s="71" t="s">
        <v>34</v>
      </c>
      <c r="J53" s="84"/>
      <c r="K53" s="36"/>
      <c r="L53" s="36"/>
      <c r="M53" s="8"/>
      <c r="N53" s="399">
        <f t="shared" si="2"/>
        <v>0</v>
      </c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</row>
    <row r="54" spans="1:181" s="15" customFormat="1" ht="19.5" hidden="1" customHeight="1">
      <c r="A54" s="74">
        <v>16</v>
      </c>
      <c r="B54" s="75" t="s">
        <v>141</v>
      </c>
      <c r="C54" s="76" t="s">
        <v>203</v>
      </c>
      <c r="D54" s="74" t="s">
        <v>179</v>
      </c>
      <c r="E54" s="78" t="s">
        <v>34</v>
      </c>
      <c r="F54" s="381"/>
      <c r="G54" s="78"/>
      <c r="H54" s="391"/>
      <c r="I54" s="78">
        <f>SUM(E55)</f>
        <v>6.64</v>
      </c>
      <c r="J54" s="84"/>
      <c r="K54" s="36"/>
      <c r="L54" s="36"/>
      <c r="M54" s="8"/>
      <c r="N54" s="399">
        <f t="shared" si="2"/>
        <v>0</v>
      </c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</row>
    <row r="55" spans="1:181" s="15" customFormat="1" ht="45" hidden="1" customHeight="1">
      <c r="A55" s="378"/>
      <c r="B55" s="72"/>
      <c r="C55" s="69" t="s">
        <v>456</v>
      </c>
      <c r="D55" s="70" t="s">
        <v>178</v>
      </c>
      <c r="E55" s="71">
        <f>6.64</f>
        <v>6.64</v>
      </c>
      <c r="F55" s="383"/>
      <c r="G55" s="71"/>
      <c r="H55" s="390"/>
      <c r="I55" s="71" t="s">
        <v>34</v>
      </c>
      <c r="J55" s="84"/>
      <c r="K55" s="36"/>
      <c r="L55" s="36"/>
      <c r="M55" s="8"/>
      <c r="N55" s="399">
        <f t="shared" si="2"/>
        <v>0</v>
      </c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</row>
    <row r="56" spans="1:181" s="15" customFormat="1" ht="27" hidden="1" customHeight="1">
      <c r="A56" s="21" t="s">
        <v>58</v>
      </c>
      <c r="B56" s="21" t="s">
        <v>111</v>
      </c>
      <c r="C56" s="737" t="s">
        <v>189</v>
      </c>
      <c r="D56" s="737"/>
      <c r="E56" s="737"/>
      <c r="F56" s="737"/>
      <c r="G56" s="737"/>
      <c r="H56" s="737"/>
      <c r="I56" s="737"/>
      <c r="J56" s="84"/>
      <c r="K56" s="36"/>
      <c r="L56" s="36"/>
      <c r="M56" s="8"/>
      <c r="N56" s="399">
        <f t="shared" si="2"/>
        <v>0</v>
      </c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</row>
    <row r="57" spans="1:181" s="15" customFormat="1" ht="20.25" hidden="1" customHeight="1">
      <c r="A57" s="64" t="s">
        <v>34</v>
      </c>
      <c r="B57" s="64" t="s">
        <v>142</v>
      </c>
      <c r="C57" s="736" t="s">
        <v>147</v>
      </c>
      <c r="D57" s="736"/>
      <c r="E57" s="736"/>
      <c r="F57" s="736"/>
      <c r="G57" s="736"/>
      <c r="H57" s="736"/>
      <c r="I57" s="736"/>
      <c r="J57" s="84"/>
      <c r="K57" s="36"/>
      <c r="L57" s="36"/>
      <c r="M57" s="8"/>
      <c r="N57" s="399">
        <f t="shared" si="2"/>
        <v>0</v>
      </c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</row>
    <row r="58" spans="1:181" s="15" customFormat="1" ht="27" hidden="1" customHeight="1">
      <c r="A58" s="74">
        <v>17</v>
      </c>
      <c r="B58" s="66" t="s">
        <v>143</v>
      </c>
      <c r="C58" s="85" t="s">
        <v>144</v>
      </c>
      <c r="D58" s="74" t="s">
        <v>179</v>
      </c>
      <c r="E58" s="78" t="s">
        <v>34</v>
      </c>
      <c r="F58" s="381"/>
      <c r="G58" s="78"/>
      <c r="H58" s="391"/>
      <c r="I58" s="78">
        <f>E59</f>
        <v>0</v>
      </c>
      <c r="J58" s="84"/>
      <c r="K58" s="36"/>
      <c r="L58" s="36"/>
      <c r="M58" s="8"/>
      <c r="N58" s="399">
        <f t="shared" si="2"/>
        <v>0</v>
      </c>
      <c r="O58" s="285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</row>
    <row r="59" spans="1:181" s="15" customFormat="1" ht="46.5" hidden="1" customHeight="1">
      <c r="A59" s="74"/>
      <c r="B59" s="75"/>
      <c r="C59" s="80" t="s">
        <v>457</v>
      </c>
      <c r="D59" s="81" t="s">
        <v>178</v>
      </c>
      <c r="E59" s="82">
        <v>0</v>
      </c>
      <c r="F59" s="382"/>
      <c r="G59" s="82"/>
      <c r="H59" s="392"/>
      <c r="I59" s="78" t="s">
        <v>34</v>
      </c>
      <c r="J59" s="84"/>
      <c r="K59" s="36"/>
      <c r="L59" s="36"/>
      <c r="M59" s="8"/>
      <c r="N59" s="399">
        <f t="shared" si="2"/>
        <v>0</v>
      </c>
      <c r="O59" s="8"/>
      <c r="P59" s="8"/>
      <c r="Q59" s="8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</row>
    <row r="60" spans="1:181" s="15" customFormat="1" ht="20.25" hidden="1" customHeight="1">
      <c r="A60" s="74">
        <v>18</v>
      </c>
      <c r="B60" s="66" t="s">
        <v>145</v>
      </c>
      <c r="C60" s="85" t="s">
        <v>146</v>
      </c>
      <c r="D60" s="74" t="s">
        <v>179</v>
      </c>
      <c r="E60" s="78" t="s">
        <v>34</v>
      </c>
      <c r="F60" s="381"/>
      <c r="G60" s="78"/>
      <c r="H60" s="391"/>
      <c r="I60" s="78">
        <f>E61</f>
        <v>0</v>
      </c>
      <c r="J60" s="84"/>
      <c r="K60" s="36"/>
      <c r="L60" s="36"/>
      <c r="M60" s="8"/>
      <c r="N60" s="399">
        <f t="shared" si="2"/>
        <v>0</v>
      </c>
      <c r="O60" s="285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</row>
    <row r="61" spans="1:181" s="15" customFormat="1" ht="74.25" hidden="1" customHeight="1">
      <c r="A61" s="74"/>
      <c r="B61" s="75"/>
      <c r="C61" s="80" t="s">
        <v>458</v>
      </c>
      <c r="D61" s="81" t="s">
        <v>178</v>
      </c>
      <c r="E61" s="82">
        <v>0</v>
      </c>
      <c r="F61" s="382"/>
      <c r="G61" s="82"/>
      <c r="H61" s="392"/>
      <c r="I61" s="78" t="s">
        <v>34</v>
      </c>
      <c r="J61" s="84"/>
      <c r="K61" s="36"/>
      <c r="L61" s="36"/>
      <c r="M61" s="8"/>
      <c r="N61" s="399">
        <f t="shared" si="2"/>
        <v>0</v>
      </c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</row>
    <row r="62" spans="1:181" s="14" customFormat="1" ht="18" hidden="1" customHeight="1">
      <c r="A62" s="64" t="s">
        <v>34</v>
      </c>
      <c r="B62" s="64" t="s">
        <v>70</v>
      </c>
      <c r="C62" s="736" t="s">
        <v>71</v>
      </c>
      <c r="D62" s="736"/>
      <c r="E62" s="736"/>
      <c r="F62" s="736"/>
      <c r="G62" s="736"/>
      <c r="H62" s="736"/>
      <c r="I62" s="736"/>
      <c r="J62" s="105"/>
      <c r="K62" s="35">
        <v>350</v>
      </c>
      <c r="L62" s="35" t="e">
        <f>K62*#REF!</f>
        <v>#REF!</v>
      </c>
      <c r="M62" s="8"/>
      <c r="N62" s="399">
        <f t="shared" si="2"/>
        <v>0</v>
      </c>
    </row>
    <row r="63" spans="1:181" s="14" customFormat="1" ht="19.5" hidden="1" customHeight="1">
      <c r="A63" s="379">
        <v>19</v>
      </c>
      <c r="B63" s="66" t="s">
        <v>148</v>
      </c>
      <c r="C63" s="108" t="s">
        <v>149</v>
      </c>
      <c r="D63" s="86" t="s">
        <v>179</v>
      </c>
      <c r="E63" s="87" t="s">
        <v>34</v>
      </c>
      <c r="F63" s="36"/>
      <c r="G63" s="87"/>
      <c r="H63" s="391"/>
      <c r="I63" s="87">
        <f>E64</f>
        <v>0</v>
      </c>
      <c r="J63" s="105"/>
      <c r="K63" s="35"/>
      <c r="L63" s="35"/>
      <c r="M63" s="8"/>
      <c r="N63" s="399">
        <f t="shared" si="2"/>
        <v>0</v>
      </c>
      <c r="O63" s="286"/>
    </row>
    <row r="64" spans="1:181" s="14" customFormat="1" ht="33" hidden="1" customHeight="1">
      <c r="A64" s="379"/>
      <c r="B64" s="75"/>
      <c r="C64" s="109" t="s">
        <v>459</v>
      </c>
      <c r="D64" s="81" t="s">
        <v>178</v>
      </c>
      <c r="E64" s="82">
        <f>E59</f>
        <v>0</v>
      </c>
      <c r="F64" s="382"/>
      <c r="G64" s="82"/>
      <c r="H64" s="392"/>
      <c r="I64" s="82" t="s">
        <v>34</v>
      </c>
      <c r="J64" s="105"/>
      <c r="K64" s="35"/>
      <c r="L64" s="35"/>
      <c r="M64" s="8"/>
      <c r="N64" s="399">
        <f t="shared" si="2"/>
        <v>0</v>
      </c>
    </row>
    <row r="65" spans="1:16" s="14" customFormat="1" ht="27.75" hidden="1" customHeight="1">
      <c r="A65" s="379">
        <v>20</v>
      </c>
      <c r="B65" s="66" t="s">
        <v>148</v>
      </c>
      <c r="C65" s="108" t="s">
        <v>460</v>
      </c>
      <c r="D65" s="86" t="s">
        <v>179</v>
      </c>
      <c r="E65" s="87" t="s">
        <v>34</v>
      </c>
      <c r="F65" s="36"/>
      <c r="G65" s="87"/>
      <c r="H65" s="391"/>
      <c r="I65" s="87">
        <f>E66</f>
        <v>0</v>
      </c>
      <c r="J65" s="105"/>
      <c r="K65" s="35"/>
      <c r="L65" s="35"/>
      <c r="M65" s="8"/>
      <c r="N65" s="399">
        <f t="shared" si="2"/>
        <v>0</v>
      </c>
      <c r="O65" s="286"/>
    </row>
    <row r="66" spans="1:16" s="14" customFormat="1" ht="42" hidden="1" customHeight="1">
      <c r="A66" s="379"/>
      <c r="B66" s="75"/>
      <c r="C66" s="109" t="s">
        <v>461</v>
      </c>
      <c r="D66" s="81" t="s">
        <v>178</v>
      </c>
      <c r="E66" s="82">
        <f>E61</f>
        <v>0</v>
      </c>
      <c r="F66" s="382"/>
      <c r="G66" s="82"/>
      <c r="H66" s="392"/>
      <c r="I66" s="82" t="s">
        <v>34</v>
      </c>
      <c r="J66" s="105"/>
      <c r="K66" s="35"/>
      <c r="L66" s="35"/>
      <c r="M66" s="8"/>
      <c r="N66" s="399">
        <f t="shared" ref="N66:N129" si="5">H66</f>
        <v>0</v>
      </c>
    </row>
    <row r="67" spans="1:16" s="3" customFormat="1" ht="32.25" hidden="1" customHeight="1">
      <c r="A67" s="21" t="s">
        <v>48</v>
      </c>
      <c r="B67" s="21" t="s">
        <v>112</v>
      </c>
      <c r="C67" s="737" t="s">
        <v>180</v>
      </c>
      <c r="D67" s="737"/>
      <c r="E67" s="737"/>
      <c r="F67" s="737"/>
      <c r="G67" s="737"/>
      <c r="H67" s="737"/>
      <c r="I67" s="737"/>
      <c r="J67" s="102"/>
      <c r="K67" s="35"/>
      <c r="L67" s="35"/>
      <c r="M67" s="1"/>
      <c r="N67" s="399">
        <f t="shared" si="5"/>
        <v>0</v>
      </c>
    </row>
    <row r="68" spans="1:16" s="3" customFormat="1" ht="18" hidden="1" customHeight="1">
      <c r="A68" s="64" t="s">
        <v>34</v>
      </c>
      <c r="B68" s="64" t="s">
        <v>150</v>
      </c>
      <c r="C68" s="736" t="s">
        <v>151</v>
      </c>
      <c r="D68" s="736"/>
      <c r="E68" s="736"/>
      <c r="F68" s="736"/>
      <c r="G68" s="736"/>
      <c r="H68" s="736"/>
      <c r="I68" s="736"/>
      <c r="J68" s="102"/>
      <c r="K68" s="35"/>
      <c r="L68" s="35"/>
      <c r="M68" s="1"/>
      <c r="N68" s="399">
        <f t="shared" si="5"/>
        <v>0</v>
      </c>
    </row>
    <row r="69" spans="1:16" s="3" customFormat="1" ht="19.5" hidden="1" customHeight="1">
      <c r="A69" s="379">
        <v>18</v>
      </c>
      <c r="B69" s="66" t="s">
        <v>152</v>
      </c>
      <c r="C69" s="108" t="s">
        <v>153</v>
      </c>
      <c r="D69" s="86" t="s">
        <v>11</v>
      </c>
      <c r="E69" s="87" t="s">
        <v>34</v>
      </c>
      <c r="F69" s="36"/>
      <c r="G69" s="87"/>
      <c r="H69" s="391"/>
      <c r="I69" s="87">
        <f>E70</f>
        <v>2</v>
      </c>
      <c r="J69" s="102"/>
      <c r="K69" s="35"/>
      <c r="L69" s="35"/>
      <c r="M69" s="1"/>
      <c r="N69" s="399">
        <f t="shared" si="5"/>
        <v>0</v>
      </c>
    </row>
    <row r="70" spans="1:16" s="3" customFormat="1" ht="69" hidden="1" customHeight="1">
      <c r="A70" s="379"/>
      <c r="B70" s="75"/>
      <c r="C70" s="109" t="s">
        <v>329</v>
      </c>
      <c r="D70" s="81" t="s">
        <v>11</v>
      </c>
      <c r="E70" s="82">
        <f>2</f>
        <v>2</v>
      </c>
      <c r="F70" s="382"/>
      <c r="G70" s="82"/>
      <c r="H70" s="392"/>
      <c r="I70" s="82" t="s">
        <v>34</v>
      </c>
      <c r="J70" s="102"/>
      <c r="K70" s="35"/>
      <c r="L70" s="35"/>
      <c r="M70" s="1"/>
      <c r="N70" s="399">
        <f t="shared" si="5"/>
        <v>0</v>
      </c>
    </row>
    <row r="71" spans="1:16" s="3" customFormat="1" ht="18" hidden="1" customHeight="1">
      <c r="A71" s="378" t="s">
        <v>228</v>
      </c>
      <c r="B71" s="72" t="str">
        <f>B69</f>
        <v>03.01.01.11</v>
      </c>
      <c r="C71" s="69" t="s">
        <v>154</v>
      </c>
      <c r="D71" s="70" t="s">
        <v>34</v>
      </c>
      <c r="E71" s="71" t="s">
        <v>34</v>
      </c>
      <c r="F71" s="383"/>
      <c r="G71" s="71"/>
      <c r="H71" s="390"/>
      <c r="I71" s="71" t="s">
        <v>34</v>
      </c>
      <c r="J71" s="102"/>
      <c r="K71" s="35"/>
      <c r="L71" s="35"/>
      <c r="M71" s="1"/>
      <c r="N71" s="399">
        <f t="shared" si="5"/>
        <v>0</v>
      </c>
    </row>
    <row r="72" spans="1:16" s="3" customFormat="1" ht="17.25" hidden="1" customHeight="1">
      <c r="A72" s="88"/>
      <c r="B72" s="148"/>
      <c r="C72" s="149" t="s">
        <v>205</v>
      </c>
      <c r="D72" s="150" t="s">
        <v>227</v>
      </c>
      <c r="E72" s="151">
        <f>0.66*2</f>
        <v>1.32</v>
      </c>
      <c r="F72" s="384"/>
      <c r="G72" s="151"/>
      <c r="H72" s="393"/>
      <c r="I72" s="151">
        <f>E72</f>
        <v>1.32</v>
      </c>
      <c r="J72" s="102"/>
      <c r="K72" s="35"/>
      <c r="L72" s="35"/>
      <c r="M72" s="1"/>
      <c r="N72" s="399">
        <f t="shared" si="5"/>
        <v>0</v>
      </c>
    </row>
    <row r="73" spans="1:16" s="3" customFormat="1" ht="27" hidden="1" customHeight="1">
      <c r="A73" s="86"/>
      <c r="B73" s="148"/>
      <c r="C73" s="152" t="s">
        <v>204</v>
      </c>
      <c r="D73" s="150" t="s">
        <v>227</v>
      </c>
      <c r="E73" s="151">
        <f>2*0.13</f>
        <v>0.26</v>
      </c>
      <c r="F73" s="384"/>
      <c r="G73" s="151"/>
      <c r="H73" s="393"/>
      <c r="I73" s="151">
        <f>E73</f>
        <v>0.26</v>
      </c>
      <c r="J73" s="102"/>
      <c r="K73" s="35"/>
      <c r="L73" s="35"/>
      <c r="M73" s="1"/>
      <c r="N73" s="399">
        <f t="shared" si="5"/>
        <v>0</v>
      </c>
    </row>
    <row r="74" spans="1:16" s="3" customFormat="1" ht="20.25" hidden="1" customHeight="1">
      <c r="A74" s="86"/>
      <c r="B74" s="148"/>
      <c r="C74" s="149" t="s">
        <v>206</v>
      </c>
      <c r="D74" s="150" t="s">
        <v>227</v>
      </c>
      <c r="E74" s="151">
        <f>0.66</f>
        <v>0.66</v>
      </c>
      <c r="F74" s="384"/>
      <c r="G74" s="151"/>
      <c r="H74" s="393"/>
      <c r="I74" s="151">
        <f>E74</f>
        <v>0.66</v>
      </c>
      <c r="J74" s="102"/>
      <c r="K74" s="35"/>
      <c r="L74" s="35"/>
      <c r="M74" s="1"/>
      <c r="N74" s="399">
        <f t="shared" si="5"/>
        <v>0</v>
      </c>
    </row>
    <row r="75" spans="1:16" s="3" customFormat="1" ht="19.5" hidden="1" customHeight="1">
      <c r="A75" s="64" t="s">
        <v>34</v>
      </c>
      <c r="B75" s="64" t="s">
        <v>155</v>
      </c>
      <c r="C75" s="736" t="s">
        <v>156</v>
      </c>
      <c r="D75" s="736"/>
      <c r="E75" s="736"/>
      <c r="F75" s="736"/>
      <c r="G75" s="736"/>
      <c r="H75" s="736"/>
      <c r="I75" s="736"/>
      <c r="J75" s="102"/>
      <c r="K75" s="35"/>
      <c r="L75" s="35"/>
      <c r="M75" s="1"/>
      <c r="N75" s="399">
        <f t="shared" si="5"/>
        <v>0</v>
      </c>
    </row>
    <row r="76" spans="1:16" s="3" customFormat="1" ht="18" hidden="1" customHeight="1">
      <c r="A76" s="379">
        <v>21</v>
      </c>
      <c r="B76" s="66" t="s">
        <v>157</v>
      </c>
      <c r="C76" s="108" t="s">
        <v>463</v>
      </c>
      <c r="D76" s="86" t="s">
        <v>11</v>
      </c>
      <c r="E76" s="87" t="s">
        <v>34</v>
      </c>
      <c r="F76" s="36"/>
      <c r="G76" s="87"/>
      <c r="H76" s="391"/>
      <c r="I76" s="87">
        <f>E77</f>
        <v>9.5</v>
      </c>
      <c r="J76" s="102"/>
      <c r="K76" s="35"/>
      <c r="L76" s="35"/>
      <c r="M76" s="1"/>
      <c r="N76" s="399">
        <f t="shared" si="5"/>
        <v>0</v>
      </c>
    </row>
    <row r="77" spans="1:16" s="3" customFormat="1" ht="30" hidden="1" customHeight="1">
      <c r="A77" s="379"/>
      <c r="B77" s="75"/>
      <c r="C77" s="109" t="s">
        <v>464</v>
      </c>
      <c r="D77" s="81" t="s">
        <v>11</v>
      </c>
      <c r="E77" s="82">
        <f>10.5-1</f>
        <v>9.5</v>
      </c>
      <c r="F77" s="382"/>
      <c r="G77" s="82"/>
      <c r="H77" s="392"/>
      <c r="I77" s="82" t="s">
        <v>34</v>
      </c>
      <c r="J77" s="102"/>
      <c r="K77" s="35"/>
      <c r="L77" s="35"/>
      <c r="M77" s="1"/>
      <c r="N77" s="399">
        <f t="shared" si="5"/>
        <v>0</v>
      </c>
    </row>
    <row r="78" spans="1:16" s="3" customFormat="1" ht="18" hidden="1" customHeight="1">
      <c r="A78" s="64" t="s">
        <v>34</v>
      </c>
      <c r="B78" s="64" t="s">
        <v>94</v>
      </c>
      <c r="C78" s="736" t="s">
        <v>465</v>
      </c>
      <c r="D78" s="736"/>
      <c r="E78" s="736"/>
      <c r="F78" s="736"/>
      <c r="G78" s="736"/>
      <c r="H78" s="736"/>
      <c r="I78" s="736"/>
      <c r="J78" s="102"/>
      <c r="K78" s="35"/>
      <c r="L78" s="35"/>
      <c r="N78" s="399">
        <f t="shared" si="5"/>
        <v>0</v>
      </c>
    </row>
    <row r="79" spans="1:16" s="3" customFormat="1" ht="38.25" hidden="1" customHeight="1">
      <c r="A79" s="379">
        <v>22</v>
      </c>
      <c r="B79" s="66" t="s">
        <v>466</v>
      </c>
      <c r="C79" s="108" t="s">
        <v>510</v>
      </c>
      <c r="D79" s="86" t="s">
        <v>11</v>
      </c>
      <c r="E79" s="87" t="s">
        <v>34</v>
      </c>
      <c r="F79" s="36"/>
      <c r="G79" s="87"/>
      <c r="H79" s="391"/>
      <c r="I79" s="87">
        <f>E80</f>
        <v>244</v>
      </c>
      <c r="J79" s="102"/>
      <c r="K79" s="35"/>
      <c r="L79" s="35"/>
      <c r="N79" s="399">
        <f t="shared" si="5"/>
        <v>0</v>
      </c>
    </row>
    <row r="80" spans="1:16" s="3" customFormat="1" ht="69.75" hidden="1" customHeight="1">
      <c r="A80" s="379"/>
      <c r="B80" s="75"/>
      <c r="C80" s="109" t="s">
        <v>511</v>
      </c>
      <c r="D80" s="81" t="s">
        <v>11</v>
      </c>
      <c r="E80" s="82">
        <f>46+31+45+38+41+43</f>
        <v>244</v>
      </c>
      <c r="F80" s="382"/>
      <c r="G80" s="82"/>
      <c r="H80" s="392"/>
      <c r="I80" s="82" t="s">
        <v>34</v>
      </c>
      <c r="J80" s="102"/>
      <c r="K80" s="35"/>
      <c r="L80" s="35"/>
      <c r="N80" s="399">
        <f t="shared" si="5"/>
        <v>0</v>
      </c>
      <c r="P80" s="3">
        <f>38+41+43</f>
        <v>122</v>
      </c>
    </row>
    <row r="81" spans="1:15" s="3" customFormat="1" ht="17.25" hidden="1" customHeight="1">
      <c r="A81" s="378" t="s">
        <v>467</v>
      </c>
      <c r="B81" s="72" t="str">
        <f>B79</f>
        <v>03.02.01.28</v>
      </c>
      <c r="C81" s="69" t="s">
        <v>158</v>
      </c>
      <c r="D81" s="70" t="s">
        <v>34</v>
      </c>
      <c r="E81" s="71" t="s">
        <v>34</v>
      </c>
      <c r="F81" s="383"/>
      <c r="G81" s="71"/>
      <c r="H81" s="390"/>
      <c r="I81" s="71" t="s">
        <v>34</v>
      </c>
      <c r="J81" s="102"/>
      <c r="K81" s="35"/>
      <c r="L81" s="35"/>
      <c r="N81" s="399">
        <f t="shared" si="5"/>
        <v>0</v>
      </c>
    </row>
    <row r="82" spans="1:15" s="3" customFormat="1" ht="26.25" hidden="1" customHeight="1">
      <c r="A82" s="86"/>
      <c r="B82" s="153"/>
      <c r="C82" s="152" t="s">
        <v>208</v>
      </c>
      <c r="D82" s="150" t="s">
        <v>227</v>
      </c>
      <c r="E82" s="151">
        <f>0.18*1</f>
        <v>0.18</v>
      </c>
      <c r="F82" s="384"/>
      <c r="G82" s="151"/>
      <c r="H82" s="393"/>
      <c r="I82" s="151">
        <f>E82</f>
        <v>0.18</v>
      </c>
      <c r="J82" s="102"/>
      <c r="K82" s="35"/>
      <c r="L82" s="35"/>
      <c r="N82" s="399">
        <f t="shared" si="5"/>
        <v>0</v>
      </c>
      <c r="O82" s="311"/>
    </row>
    <row r="83" spans="1:15" s="3" customFormat="1" ht="30.75" hidden="1" customHeight="1">
      <c r="A83" s="86"/>
      <c r="B83" s="153"/>
      <c r="C83" s="149" t="s">
        <v>161</v>
      </c>
      <c r="D83" s="150" t="s">
        <v>227</v>
      </c>
      <c r="E83" s="151">
        <f>1*(1.5*0.85-3.14*0.325*0.325)</f>
        <v>0.94</v>
      </c>
      <c r="F83" s="384"/>
      <c r="G83" s="151"/>
      <c r="H83" s="393"/>
      <c r="I83" s="151">
        <f>E83</f>
        <v>0.94</v>
      </c>
      <c r="J83" s="102"/>
      <c r="K83" s="35"/>
      <c r="L83" s="35"/>
      <c r="N83" s="399">
        <f t="shared" si="5"/>
        <v>0</v>
      </c>
      <c r="O83" s="311"/>
    </row>
    <row r="84" spans="1:15" s="3" customFormat="1" ht="18" hidden="1" customHeight="1">
      <c r="A84" s="378"/>
      <c r="B84" s="72"/>
      <c r="C84" s="154" t="s">
        <v>512</v>
      </c>
      <c r="D84" s="155" t="s">
        <v>11</v>
      </c>
      <c r="E84" s="156">
        <v>1</v>
      </c>
      <c r="F84" s="385"/>
      <c r="G84" s="156"/>
      <c r="H84" s="394"/>
      <c r="I84" s="156">
        <v>1</v>
      </c>
      <c r="J84" s="102"/>
      <c r="K84" s="35"/>
      <c r="L84" s="35"/>
      <c r="N84" s="399">
        <f t="shared" si="5"/>
        <v>0</v>
      </c>
      <c r="O84" s="311"/>
    </row>
    <row r="85" spans="1:15" s="3" customFormat="1" ht="18" hidden="1" customHeight="1">
      <c r="A85" s="379">
        <v>22</v>
      </c>
      <c r="B85" s="66" t="s">
        <v>113</v>
      </c>
      <c r="C85" s="108" t="s">
        <v>159</v>
      </c>
      <c r="D85" s="86" t="s">
        <v>11</v>
      </c>
      <c r="E85" s="87" t="s">
        <v>34</v>
      </c>
      <c r="F85" s="36"/>
      <c r="G85" s="87"/>
      <c r="H85" s="391"/>
      <c r="I85" s="87">
        <f>E86</f>
        <v>33.5</v>
      </c>
      <c r="J85" s="102"/>
      <c r="K85" s="35"/>
      <c r="L85" s="35"/>
      <c r="N85" s="399">
        <f t="shared" si="5"/>
        <v>0</v>
      </c>
    </row>
    <row r="86" spans="1:15" s="3" customFormat="1" ht="81.75" hidden="1" customHeight="1">
      <c r="A86" s="379"/>
      <c r="B86" s="75"/>
      <c r="C86" s="109" t="s">
        <v>468</v>
      </c>
      <c r="D86" s="81" t="s">
        <v>11</v>
      </c>
      <c r="E86" s="82">
        <f>3.5+7+2.5+8+3+3+3+3.5</f>
        <v>33.5</v>
      </c>
      <c r="F86" s="382"/>
      <c r="G86" s="82"/>
      <c r="H86" s="392"/>
      <c r="I86" s="82" t="s">
        <v>34</v>
      </c>
      <c r="J86" s="102"/>
      <c r="K86" s="35"/>
      <c r="L86" s="35"/>
      <c r="N86" s="399">
        <f t="shared" si="5"/>
        <v>0</v>
      </c>
    </row>
    <row r="87" spans="1:15" s="3" customFormat="1" ht="27.75" hidden="1" customHeight="1">
      <c r="A87" s="379">
        <v>23</v>
      </c>
      <c r="B87" s="66" t="s">
        <v>469</v>
      </c>
      <c r="C87" s="108" t="s">
        <v>513</v>
      </c>
      <c r="D87" s="86" t="s">
        <v>12</v>
      </c>
      <c r="E87" s="87" t="s">
        <v>34</v>
      </c>
      <c r="F87" s="36"/>
      <c r="G87" s="87"/>
      <c r="H87" s="391"/>
      <c r="I87" s="87">
        <f>E88</f>
        <v>6</v>
      </c>
      <c r="J87" s="102"/>
      <c r="K87" s="35"/>
      <c r="L87" s="35"/>
      <c r="N87" s="399">
        <f t="shared" si="5"/>
        <v>0</v>
      </c>
    </row>
    <row r="88" spans="1:15" s="3" customFormat="1" ht="78.75" hidden="1" customHeight="1">
      <c r="A88" s="379"/>
      <c r="B88" s="75"/>
      <c r="C88" s="109" t="s">
        <v>470</v>
      </c>
      <c r="D88" s="81" t="s">
        <v>12</v>
      </c>
      <c r="E88" s="82">
        <f>2+4</f>
        <v>6</v>
      </c>
      <c r="F88" s="382"/>
      <c r="G88" s="82"/>
      <c r="H88" s="392"/>
      <c r="I88" s="82" t="s">
        <v>34</v>
      </c>
      <c r="J88" s="102"/>
      <c r="K88" s="35"/>
      <c r="L88" s="35"/>
      <c r="N88" s="399">
        <f t="shared" si="5"/>
        <v>0</v>
      </c>
    </row>
    <row r="89" spans="1:15" s="3" customFormat="1" ht="29.25" hidden="1" customHeight="1">
      <c r="A89" s="379">
        <v>24</v>
      </c>
      <c r="B89" s="66" t="s">
        <v>471</v>
      </c>
      <c r="C89" s="108" t="s">
        <v>514</v>
      </c>
      <c r="D89" s="86" t="s">
        <v>12</v>
      </c>
      <c r="E89" s="87" t="s">
        <v>34</v>
      </c>
      <c r="F89" s="36"/>
      <c r="G89" s="87"/>
      <c r="H89" s="391"/>
      <c r="I89" s="87">
        <f>E90</f>
        <v>1</v>
      </c>
      <c r="J89" s="102"/>
      <c r="K89" s="35"/>
      <c r="L89" s="35"/>
      <c r="N89" s="399">
        <f t="shared" si="5"/>
        <v>0</v>
      </c>
    </row>
    <row r="90" spans="1:15" s="3" customFormat="1" ht="71.25" hidden="1" customHeight="1">
      <c r="A90" s="379"/>
      <c r="B90" s="75"/>
      <c r="C90" s="109" t="s">
        <v>472</v>
      </c>
      <c r="D90" s="81" t="s">
        <v>12</v>
      </c>
      <c r="E90" s="82">
        <v>1</v>
      </c>
      <c r="F90" s="382"/>
      <c r="G90" s="82"/>
      <c r="H90" s="392"/>
      <c r="I90" s="82" t="s">
        <v>34</v>
      </c>
      <c r="J90" s="102"/>
      <c r="K90" s="35"/>
      <c r="L90" s="35"/>
      <c r="N90" s="399">
        <f t="shared" si="5"/>
        <v>0</v>
      </c>
    </row>
    <row r="91" spans="1:15" s="3" customFormat="1" ht="18" hidden="1" customHeight="1">
      <c r="A91" s="379">
        <v>25</v>
      </c>
      <c r="B91" s="66" t="s">
        <v>160</v>
      </c>
      <c r="C91" s="108" t="s">
        <v>229</v>
      </c>
      <c r="D91" s="86" t="s">
        <v>12</v>
      </c>
      <c r="E91" s="87" t="s">
        <v>34</v>
      </c>
      <c r="F91" s="36"/>
      <c r="G91" s="87"/>
      <c r="H91" s="391"/>
      <c r="I91" s="87">
        <f>E92</f>
        <v>8</v>
      </c>
      <c r="J91" s="102"/>
      <c r="K91" s="35"/>
      <c r="L91" s="35"/>
      <c r="N91" s="399">
        <f t="shared" si="5"/>
        <v>0</v>
      </c>
    </row>
    <row r="92" spans="1:15" s="3" customFormat="1" ht="93.75" hidden="1" customHeight="1">
      <c r="A92" s="379"/>
      <c r="B92" s="75"/>
      <c r="C92" s="109" t="s">
        <v>473</v>
      </c>
      <c r="D92" s="81" t="s">
        <v>12</v>
      </c>
      <c r="E92" s="82">
        <f>8</f>
        <v>8</v>
      </c>
      <c r="F92" s="382"/>
      <c r="G92" s="82"/>
      <c r="H92" s="392"/>
      <c r="I92" s="82" t="s">
        <v>34</v>
      </c>
      <c r="J92" s="102"/>
      <c r="K92" s="35"/>
      <c r="L92" s="35"/>
      <c r="N92" s="399">
        <f t="shared" si="5"/>
        <v>0</v>
      </c>
    </row>
    <row r="93" spans="1:15" s="3" customFormat="1" ht="29.25" customHeight="1">
      <c r="A93" s="74">
        <v>8</v>
      </c>
      <c r="B93" s="75" t="s">
        <v>643</v>
      </c>
      <c r="C93" s="76" t="s">
        <v>644</v>
      </c>
      <c r="D93" s="74" t="s">
        <v>9</v>
      </c>
      <c r="E93" s="78" t="s">
        <v>34</v>
      </c>
      <c r="F93" s="380">
        <f>I93</f>
        <v>2</v>
      </c>
      <c r="G93" s="78">
        <v>20</v>
      </c>
      <c r="H93" s="391">
        <f>G93*F93</f>
        <v>40</v>
      </c>
      <c r="I93" s="78">
        <v>2</v>
      </c>
      <c r="J93" s="102"/>
      <c r="K93" s="35"/>
      <c r="L93" s="35"/>
      <c r="N93" s="399">
        <f t="shared" si="5"/>
        <v>40</v>
      </c>
    </row>
    <row r="94" spans="1:15" s="3" customFormat="1" ht="81" hidden="1" customHeight="1">
      <c r="A94" s="378"/>
      <c r="B94" s="72"/>
      <c r="C94" s="69" t="s">
        <v>652</v>
      </c>
      <c r="D94" s="70" t="s">
        <v>9</v>
      </c>
      <c r="E94" s="71">
        <v>2</v>
      </c>
      <c r="F94" s="380" t="str">
        <f>I94</f>
        <v>x</v>
      </c>
      <c r="G94" s="71"/>
      <c r="H94" s="390"/>
      <c r="I94" s="71" t="s">
        <v>34</v>
      </c>
      <c r="J94" s="102"/>
      <c r="K94" s="35"/>
      <c r="L94" s="35"/>
      <c r="N94" s="399">
        <f t="shared" si="5"/>
        <v>0</v>
      </c>
    </row>
    <row r="95" spans="1:15" s="3" customFormat="1" ht="31.5" customHeight="1">
      <c r="A95" s="731" t="s">
        <v>657</v>
      </c>
      <c r="B95" s="731"/>
      <c r="C95" s="731"/>
      <c r="D95" s="731"/>
      <c r="E95" s="731"/>
      <c r="F95" s="731"/>
      <c r="G95" s="731"/>
      <c r="H95" s="401">
        <f>H32+H38+H41+H47+H50+H52+H93</f>
        <v>28167.06</v>
      </c>
      <c r="I95" s="71"/>
      <c r="J95" s="102"/>
      <c r="K95" s="35"/>
      <c r="L95" s="35"/>
      <c r="N95" s="399"/>
    </row>
    <row r="96" spans="1:15" s="3" customFormat="1" ht="27" customHeight="1">
      <c r="A96" s="21" t="s">
        <v>58</v>
      </c>
      <c r="B96" s="21" t="s">
        <v>57</v>
      </c>
      <c r="C96" s="737" t="s">
        <v>181</v>
      </c>
      <c r="D96" s="737"/>
      <c r="E96" s="737"/>
      <c r="F96" s="737"/>
      <c r="G96" s="737"/>
      <c r="H96" s="737"/>
      <c r="I96" s="737"/>
      <c r="J96" s="102"/>
      <c r="K96" s="35"/>
      <c r="L96" s="35"/>
      <c r="N96" s="399">
        <f t="shared" si="5"/>
        <v>0</v>
      </c>
    </row>
    <row r="97" spans="1:21" s="1" customFormat="1" ht="18" customHeight="1">
      <c r="A97" s="64" t="s">
        <v>34</v>
      </c>
      <c r="B97" s="64" t="s">
        <v>98</v>
      </c>
      <c r="C97" s="736" t="s">
        <v>99</v>
      </c>
      <c r="D97" s="736"/>
      <c r="E97" s="736"/>
      <c r="F97" s="736"/>
      <c r="G97" s="736"/>
      <c r="H97" s="736"/>
      <c r="I97" s="736"/>
      <c r="J97" s="105"/>
      <c r="K97" s="739"/>
      <c r="L97" s="739"/>
      <c r="M97" s="3"/>
      <c r="N97" s="399">
        <f t="shared" si="5"/>
        <v>0</v>
      </c>
    </row>
    <row r="98" spans="1:21" s="1" customFormat="1" ht="27.75" customHeight="1">
      <c r="A98" s="86">
        <v>9</v>
      </c>
      <c r="B98" s="89" t="s">
        <v>209</v>
      </c>
      <c r="C98" s="111" t="s">
        <v>210</v>
      </c>
      <c r="D98" s="86" t="s">
        <v>176</v>
      </c>
      <c r="E98" s="87" t="s">
        <v>34</v>
      </c>
      <c r="F98" s="380">
        <f>I98</f>
        <v>20</v>
      </c>
      <c r="G98" s="87">
        <v>2.5499999999999998</v>
      </c>
      <c r="H98" s="391">
        <f>G98*F98</f>
        <v>51</v>
      </c>
      <c r="I98" s="87">
        <f>E99</f>
        <v>20</v>
      </c>
      <c r="J98" s="105"/>
      <c r="K98" s="104"/>
      <c r="L98" s="104"/>
      <c r="M98" s="3"/>
      <c r="N98" s="399">
        <f t="shared" si="5"/>
        <v>51</v>
      </c>
    </row>
    <row r="99" spans="1:21" s="1" customFormat="1" ht="69" hidden="1" customHeight="1">
      <c r="A99" s="86"/>
      <c r="B99" s="89"/>
      <c r="C99" s="110" t="s">
        <v>619</v>
      </c>
      <c r="D99" s="88" t="s">
        <v>177</v>
      </c>
      <c r="E99" s="84">
        <v>20</v>
      </c>
      <c r="F99" s="380" t="str">
        <f>I99</f>
        <v>x</v>
      </c>
      <c r="G99" s="84"/>
      <c r="H99" s="392"/>
      <c r="I99" s="84" t="s">
        <v>34</v>
      </c>
      <c r="J99" s="105"/>
      <c r="K99" s="104"/>
      <c r="L99" s="104"/>
      <c r="M99" s="140"/>
      <c r="N99" s="399">
        <f t="shared" si="5"/>
        <v>0</v>
      </c>
    </row>
    <row r="100" spans="1:21" s="1" customFormat="1" ht="18.75" customHeight="1">
      <c r="A100" s="64" t="s">
        <v>34</v>
      </c>
      <c r="B100" s="64" t="s">
        <v>114</v>
      </c>
      <c r="C100" s="736" t="s">
        <v>115</v>
      </c>
      <c r="D100" s="736"/>
      <c r="E100" s="736"/>
      <c r="F100" s="736"/>
      <c r="G100" s="736"/>
      <c r="H100" s="736"/>
      <c r="I100" s="736"/>
      <c r="J100" s="105"/>
      <c r="K100" s="104"/>
      <c r="L100" s="104"/>
      <c r="M100" s="3"/>
      <c r="N100" s="399">
        <f t="shared" si="5"/>
        <v>0</v>
      </c>
    </row>
    <row r="101" spans="1:21" s="1" customFormat="1" ht="21" customHeight="1">
      <c r="A101" s="86">
        <v>10</v>
      </c>
      <c r="B101" s="89" t="s">
        <v>162</v>
      </c>
      <c r="C101" s="111" t="s">
        <v>575</v>
      </c>
      <c r="D101" s="86" t="s">
        <v>176</v>
      </c>
      <c r="E101" s="87" t="s">
        <v>34</v>
      </c>
      <c r="F101" s="380">
        <f>I101</f>
        <v>713.55</v>
      </c>
      <c r="G101" s="87">
        <v>19.2</v>
      </c>
      <c r="H101" s="391">
        <f>G101*F101</f>
        <v>13700.16</v>
      </c>
      <c r="I101" s="87">
        <f>E102</f>
        <v>713.55</v>
      </c>
      <c r="J101" s="105"/>
      <c r="K101" s="104"/>
      <c r="L101" s="104"/>
      <c r="M101" s="3"/>
      <c r="N101" s="399">
        <f t="shared" si="5"/>
        <v>13700.16</v>
      </c>
    </row>
    <row r="102" spans="1:21" s="1" customFormat="1" ht="95.25" hidden="1" customHeight="1">
      <c r="A102" s="86"/>
      <c r="B102" s="89"/>
      <c r="C102" s="110" t="s">
        <v>632</v>
      </c>
      <c r="D102" s="88" t="s">
        <v>177</v>
      </c>
      <c r="E102" s="84">
        <f>520.84+192.71</f>
        <v>713.55</v>
      </c>
      <c r="F102" s="380" t="str">
        <f>I102</f>
        <v>x</v>
      </c>
      <c r="G102" s="84"/>
      <c r="H102" s="392"/>
      <c r="I102" s="84" t="s">
        <v>34</v>
      </c>
      <c r="J102" s="105"/>
      <c r="K102" s="104"/>
      <c r="L102" s="104"/>
      <c r="N102" s="399">
        <f t="shared" si="5"/>
        <v>0</v>
      </c>
      <c r="P102" s="1">
        <f>(624.29-156.21)*1.07</f>
        <v>500.84559999999999</v>
      </c>
      <c r="Q102" s="1">
        <f>98.2*1.1</f>
        <v>108.02</v>
      </c>
      <c r="S102" s="1">
        <f>262.46+172.78</f>
        <v>435.24</v>
      </c>
      <c r="U102" s="1">
        <f>(411-97)+(388.5-72)</f>
        <v>630.5</v>
      </c>
    </row>
    <row r="103" spans="1:21" s="1" customFormat="1" ht="19.5" hidden="1" customHeight="1">
      <c r="A103" s="64" t="s">
        <v>34</v>
      </c>
      <c r="B103" s="64" t="s">
        <v>17</v>
      </c>
      <c r="C103" s="736" t="s">
        <v>18</v>
      </c>
      <c r="D103" s="736"/>
      <c r="E103" s="736"/>
      <c r="F103" s="736"/>
      <c r="G103" s="736"/>
      <c r="H103" s="736"/>
      <c r="I103" s="736"/>
      <c r="J103" s="105"/>
      <c r="K103" s="104"/>
      <c r="L103" s="104"/>
      <c r="N103" s="399">
        <f t="shared" si="5"/>
        <v>0</v>
      </c>
    </row>
    <row r="104" spans="1:21" s="1" customFormat="1" ht="19.5" hidden="1" customHeight="1">
      <c r="A104" s="86">
        <v>28</v>
      </c>
      <c r="B104" s="90" t="s">
        <v>478</v>
      </c>
      <c r="C104" s="111" t="s">
        <v>477</v>
      </c>
      <c r="D104" s="86" t="s">
        <v>176</v>
      </c>
      <c r="E104" s="87" t="s">
        <v>34</v>
      </c>
      <c r="F104" s="36"/>
      <c r="G104" s="87"/>
      <c r="H104" s="391"/>
      <c r="I104" s="87">
        <f>E105</f>
        <v>424.62</v>
      </c>
      <c r="J104" s="105"/>
      <c r="K104" s="104"/>
      <c r="L104" s="104"/>
      <c r="N104" s="399">
        <f t="shared" si="5"/>
        <v>0</v>
      </c>
    </row>
    <row r="105" spans="1:21" s="1" customFormat="1" ht="89.25" hidden="1" customHeight="1">
      <c r="A105" s="88"/>
      <c r="B105" s="91"/>
      <c r="C105" s="110" t="s">
        <v>479</v>
      </c>
      <c r="D105" s="88" t="s">
        <v>177</v>
      </c>
      <c r="E105" s="84">
        <f>114+89.2+135.91+85.51</f>
        <v>424.62</v>
      </c>
      <c r="F105" s="386"/>
      <c r="G105" s="84"/>
      <c r="H105" s="392"/>
      <c r="I105" s="84" t="s">
        <v>34</v>
      </c>
      <c r="J105" s="105"/>
      <c r="K105" s="104"/>
      <c r="L105" s="104"/>
      <c r="N105" s="399">
        <f t="shared" si="5"/>
        <v>0</v>
      </c>
      <c r="P105" s="1">
        <f>114</f>
        <v>114</v>
      </c>
      <c r="Q105" s="1">
        <f>98.2</f>
        <v>98.2</v>
      </c>
      <c r="R105" s="1">
        <v>135.91</v>
      </c>
      <c r="S105" s="1">
        <v>85.51</v>
      </c>
    </row>
    <row r="106" spans="1:21" s="8" customFormat="1" ht="18.75" hidden="1" customHeight="1">
      <c r="A106" s="86">
        <v>29</v>
      </c>
      <c r="B106" s="90" t="s">
        <v>163</v>
      </c>
      <c r="C106" s="111" t="s">
        <v>480</v>
      </c>
      <c r="D106" s="86" t="s">
        <v>176</v>
      </c>
      <c r="E106" s="87" t="s">
        <v>34</v>
      </c>
      <c r="F106" s="36"/>
      <c r="G106" s="87"/>
      <c r="H106" s="391"/>
      <c r="I106" s="87">
        <f>E107</f>
        <v>203.2</v>
      </c>
      <c r="J106" s="112"/>
      <c r="K106" s="738"/>
      <c r="L106" s="738"/>
      <c r="M106" s="1"/>
      <c r="N106" s="399">
        <f t="shared" si="5"/>
        <v>0</v>
      </c>
    </row>
    <row r="107" spans="1:21" s="11" customFormat="1" ht="43.5" hidden="1" customHeight="1">
      <c r="A107" s="88"/>
      <c r="B107" s="91"/>
      <c r="C107" s="110" t="s">
        <v>481</v>
      </c>
      <c r="D107" s="88" t="s">
        <v>177</v>
      </c>
      <c r="E107" s="84">
        <f>203.2</f>
        <v>203.2</v>
      </c>
      <c r="F107" s="386"/>
      <c r="G107" s="84"/>
      <c r="H107" s="392"/>
      <c r="I107" s="84" t="s">
        <v>34</v>
      </c>
      <c r="J107" s="113"/>
      <c r="K107" s="35">
        <v>1.26</v>
      </c>
      <c r="L107" s="35">
        <f>K107*I106</f>
        <v>256.02999999999997</v>
      </c>
      <c r="M107" s="1"/>
      <c r="N107" s="399">
        <f t="shared" si="5"/>
        <v>0</v>
      </c>
    </row>
    <row r="108" spans="1:21" s="11" customFormat="1" ht="18.75" hidden="1" customHeight="1">
      <c r="A108" s="86">
        <v>30</v>
      </c>
      <c r="B108" s="89" t="s">
        <v>164</v>
      </c>
      <c r="C108" s="111" t="s">
        <v>165</v>
      </c>
      <c r="D108" s="86" t="s">
        <v>176</v>
      </c>
      <c r="E108" s="87" t="s">
        <v>34</v>
      </c>
      <c r="F108" s="36"/>
      <c r="G108" s="87"/>
      <c r="H108" s="391"/>
      <c r="I108" s="87">
        <f>E109</f>
        <v>424.62</v>
      </c>
      <c r="J108" s="113"/>
      <c r="K108" s="35"/>
      <c r="L108" s="35"/>
      <c r="M108" s="1"/>
      <c r="N108" s="399">
        <f t="shared" si="5"/>
        <v>0</v>
      </c>
    </row>
    <row r="109" spans="1:21" s="11" customFormat="1" ht="94.5" hidden="1" customHeight="1">
      <c r="A109" s="86"/>
      <c r="B109" s="91"/>
      <c r="C109" s="147" t="s">
        <v>482</v>
      </c>
      <c r="D109" s="88" t="s">
        <v>177</v>
      </c>
      <c r="E109" s="84">
        <f>E105</f>
        <v>424.62</v>
      </c>
      <c r="F109" s="386"/>
      <c r="G109" s="84"/>
      <c r="H109" s="392"/>
      <c r="I109" s="87" t="s">
        <v>34</v>
      </c>
      <c r="J109" s="113"/>
      <c r="K109" s="35"/>
      <c r="L109" s="35"/>
      <c r="M109" s="1"/>
      <c r="N109" s="399">
        <f t="shared" si="5"/>
        <v>0</v>
      </c>
    </row>
    <row r="110" spans="1:21" s="8" customFormat="1" ht="17.25" hidden="1" customHeight="1">
      <c r="A110" s="86">
        <v>31</v>
      </c>
      <c r="B110" s="89" t="s">
        <v>73</v>
      </c>
      <c r="C110" s="111" t="s">
        <v>72</v>
      </c>
      <c r="D110" s="86" t="s">
        <v>176</v>
      </c>
      <c r="E110" s="87" t="s">
        <v>34</v>
      </c>
      <c r="F110" s="36"/>
      <c r="G110" s="87"/>
      <c r="H110" s="391"/>
      <c r="I110" s="87">
        <f>E111</f>
        <v>203.2</v>
      </c>
      <c r="J110" s="106"/>
      <c r="K110" s="36"/>
      <c r="L110" s="36"/>
      <c r="M110" s="1"/>
      <c r="N110" s="399">
        <f t="shared" si="5"/>
        <v>0</v>
      </c>
    </row>
    <row r="111" spans="1:21" s="8" customFormat="1" ht="42" hidden="1" customHeight="1">
      <c r="A111" s="86"/>
      <c r="B111" s="91"/>
      <c r="C111" s="110" t="s">
        <v>483</v>
      </c>
      <c r="D111" s="88" t="s">
        <v>177</v>
      </c>
      <c r="E111" s="84">
        <f>E107</f>
        <v>203.2</v>
      </c>
      <c r="F111" s="386"/>
      <c r="G111" s="84"/>
      <c r="H111" s="392"/>
      <c r="I111" s="87" t="s">
        <v>34</v>
      </c>
      <c r="J111" s="106"/>
      <c r="K111" s="36"/>
      <c r="L111" s="36"/>
      <c r="M111" s="1"/>
      <c r="N111" s="399">
        <f t="shared" si="5"/>
        <v>0</v>
      </c>
    </row>
    <row r="112" spans="1:21" s="8" customFormat="1" ht="18" customHeight="1">
      <c r="A112" s="64" t="s">
        <v>34</v>
      </c>
      <c r="B112" s="64" t="s">
        <v>19</v>
      </c>
      <c r="C112" s="736" t="s">
        <v>20</v>
      </c>
      <c r="D112" s="736"/>
      <c r="E112" s="736"/>
      <c r="F112" s="736"/>
      <c r="G112" s="736"/>
      <c r="H112" s="736"/>
      <c r="I112" s="736"/>
      <c r="J112" s="106"/>
      <c r="K112" s="36"/>
      <c r="L112" s="36"/>
      <c r="M112" s="1"/>
      <c r="N112" s="399">
        <f t="shared" si="5"/>
        <v>0</v>
      </c>
    </row>
    <row r="113" spans="1:106" s="8" customFormat="1" ht="30" customHeight="1">
      <c r="A113" s="86">
        <v>11</v>
      </c>
      <c r="B113" s="90" t="s">
        <v>489</v>
      </c>
      <c r="C113" s="114" t="s">
        <v>490</v>
      </c>
      <c r="D113" s="86" t="s">
        <v>176</v>
      </c>
      <c r="E113" s="87" t="s">
        <v>34</v>
      </c>
      <c r="F113" s="380">
        <f>I113</f>
        <v>520.84</v>
      </c>
      <c r="G113" s="87">
        <v>21.5</v>
      </c>
      <c r="H113" s="391">
        <f>G113*F113</f>
        <v>11198.06</v>
      </c>
      <c r="I113" s="87">
        <f>SUM(E114:E114)</f>
        <v>520.84</v>
      </c>
      <c r="J113" s="106"/>
      <c r="K113" s="36"/>
      <c r="L113" s="36"/>
      <c r="M113" s="1"/>
      <c r="N113" s="399">
        <f t="shared" si="5"/>
        <v>11198.06</v>
      </c>
    </row>
    <row r="114" spans="1:106" s="8" customFormat="1" ht="51.75" hidden="1" customHeight="1">
      <c r="A114" s="86"/>
      <c r="B114" s="91"/>
      <c r="C114" s="110" t="s">
        <v>627</v>
      </c>
      <c r="D114" s="88" t="s">
        <v>177</v>
      </c>
      <c r="E114" s="84">
        <v>520.84</v>
      </c>
      <c r="F114" s="380" t="str">
        <f>I114</f>
        <v>x</v>
      </c>
      <c r="G114" s="84"/>
      <c r="H114" s="392"/>
      <c r="I114" s="87" t="s">
        <v>34</v>
      </c>
      <c r="J114" s="106"/>
      <c r="K114" s="36"/>
      <c r="L114" s="36"/>
      <c r="M114" s="1"/>
      <c r="N114" s="399">
        <f t="shared" si="5"/>
        <v>0</v>
      </c>
    </row>
    <row r="115" spans="1:106" s="8" customFormat="1" ht="29.25" hidden="1" customHeight="1">
      <c r="A115" s="86">
        <v>33</v>
      </c>
      <c r="B115" s="90" t="s">
        <v>484</v>
      </c>
      <c r="C115" s="114" t="s">
        <v>485</v>
      </c>
      <c r="D115" s="86" t="s">
        <v>176</v>
      </c>
      <c r="E115" s="87" t="s">
        <v>34</v>
      </c>
      <c r="F115" s="36"/>
      <c r="G115" s="87"/>
      <c r="H115" s="391"/>
      <c r="I115" s="87">
        <f>SUM(E116:E116)</f>
        <v>203.2</v>
      </c>
      <c r="J115" s="112"/>
      <c r="K115" s="738"/>
      <c r="L115" s="738"/>
      <c r="N115" s="399">
        <f t="shared" si="5"/>
        <v>0</v>
      </c>
    </row>
    <row r="116" spans="1:106" s="8" customFormat="1" ht="47.25" hidden="1" customHeight="1">
      <c r="A116" s="86"/>
      <c r="B116" s="91"/>
      <c r="C116" s="110" t="s">
        <v>486</v>
      </c>
      <c r="D116" s="88" t="s">
        <v>177</v>
      </c>
      <c r="E116" s="84">
        <f>114+89.2</f>
        <v>203.2</v>
      </c>
      <c r="F116" s="386"/>
      <c r="G116" s="84"/>
      <c r="H116" s="392"/>
      <c r="I116" s="87" t="s">
        <v>34</v>
      </c>
      <c r="J116" s="112"/>
      <c r="K116" s="262"/>
      <c r="L116" s="262"/>
      <c r="N116" s="399">
        <f t="shared" si="5"/>
        <v>0</v>
      </c>
    </row>
    <row r="117" spans="1:106" s="8" customFormat="1" ht="21" customHeight="1">
      <c r="A117" s="64" t="s">
        <v>34</v>
      </c>
      <c r="B117" s="64" t="s">
        <v>166</v>
      </c>
      <c r="C117" s="736" t="s">
        <v>487</v>
      </c>
      <c r="D117" s="736"/>
      <c r="E117" s="736"/>
      <c r="F117" s="736"/>
      <c r="G117" s="736"/>
      <c r="H117" s="736"/>
      <c r="I117" s="736"/>
      <c r="J117" s="112"/>
      <c r="K117" s="262"/>
      <c r="L117" s="262"/>
      <c r="N117" s="399">
        <f t="shared" si="5"/>
        <v>0</v>
      </c>
    </row>
    <row r="118" spans="1:106" s="8" customFormat="1" ht="30.75" customHeight="1">
      <c r="A118" s="86">
        <v>12</v>
      </c>
      <c r="B118" s="90" t="s">
        <v>211</v>
      </c>
      <c r="C118" s="114" t="s">
        <v>488</v>
      </c>
      <c r="D118" s="86" t="s">
        <v>176</v>
      </c>
      <c r="E118" s="87" t="s">
        <v>34</v>
      </c>
      <c r="F118" s="380">
        <f>I118</f>
        <v>192.71</v>
      </c>
      <c r="G118" s="87">
        <v>23.45</v>
      </c>
      <c r="H118" s="391">
        <f>G118*F118</f>
        <v>4519.05</v>
      </c>
      <c r="I118" s="87">
        <f>SUM(E119:E119)</f>
        <v>192.71</v>
      </c>
      <c r="J118" s="112"/>
      <c r="K118" s="262"/>
      <c r="L118" s="262"/>
      <c r="N118" s="399">
        <f t="shared" si="5"/>
        <v>4519.05</v>
      </c>
    </row>
    <row r="119" spans="1:106" s="8" customFormat="1" ht="45.75" hidden="1" customHeight="1">
      <c r="A119" s="86"/>
      <c r="B119" s="91"/>
      <c r="C119" s="110" t="s">
        <v>631</v>
      </c>
      <c r="D119" s="88" t="s">
        <v>177</v>
      </c>
      <c r="E119" s="84">
        <v>192.71</v>
      </c>
      <c r="F119" s="380" t="str">
        <f>I119</f>
        <v>x</v>
      </c>
      <c r="G119" s="84"/>
      <c r="H119" s="392"/>
      <c r="I119" s="87" t="s">
        <v>34</v>
      </c>
      <c r="J119" s="112"/>
      <c r="K119" s="262"/>
      <c r="L119" s="262"/>
      <c r="N119" s="399">
        <f t="shared" si="5"/>
        <v>0</v>
      </c>
    </row>
    <row r="120" spans="1:106" s="8" customFormat="1" ht="29.25" hidden="1" customHeight="1">
      <c r="A120" s="289">
        <v>35</v>
      </c>
      <c r="B120" s="344" t="s">
        <v>491</v>
      </c>
      <c r="C120" s="345" t="s">
        <v>492</v>
      </c>
      <c r="D120" s="289" t="s">
        <v>569</v>
      </c>
      <c r="E120" s="158" t="s">
        <v>34</v>
      </c>
      <c r="F120" s="313"/>
      <c r="G120" s="158"/>
      <c r="H120" s="395"/>
      <c r="I120" s="158">
        <f>SUM(E121:E121)</f>
        <v>489.64</v>
      </c>
      <c r="J120" s="106"/>
      <c r="K120" s="35"/>
      <c r="L120" s="35"/>
      <c r="N120" s="399">
        <f t="shared" si="5"/>
        <v>0</v>
      </c>
    </row>
    <row r="121" spans="1:106" s="8" customFormat="1" ht="80.25" hidden="1" customHeight="1">
      <c r="A121" s="289"/>
      <c r="B121" s="346"/>
      <c r="C121" s="347" t="s">
        <v>493</v>
      </c>
      <c r="D121" s="348" t="s">
        <v>570</v>
      </c>
      <c r="E121" s="349">
        <f>135.91+85.51+(114+89.2)*1.32</f>
        <v>489.64</v>
      </c>
      <c r="F121" s="387"/>
      <c r="G121" s="349"/>
      <c r="H121" s="396"/>
      <c r="I121" s="158" t="s">
        <v>34</v>
      </c>
      <c r="J121" s="106"/>
      <c r="K121" s="35"/>
      <c r="L121" s="35"/>
      <c r="N121" s="399">
        <f t="shared" si="5"/>
        <v>0</v>
      </c>
      <c r="O121" s="8">
        <f>135.91+85.51</f>
        <v>221.42</v>
      </c>
      <c r="P121" s="8">
        <f>(114+89.2)*1.32</f>
        <v>268.22399999999999</v>
      </c>
    </row>
    <row r="122" spans="1:106" s="8" customFormat="1" ht="27.75" customHeight="1">
      <c r="A122" s="731" t="s">
        <v>659</v>
      </c>
      <c r="B122" s="731"/>
      <c r="C122" s="731"/>
      <c r="D122" s="731"/>
      <c r="E122" s="731"/>
      <c r="F122" s="731"/>
      <c r="G122" s="731"/>
      <c r="H122" s="401">
        <f>H98+H101+H113+H118</f>
        <v>29468.27</v>
      </c>
      <c r="I122" s="158"/>
      <c r="J122" s="106"/>
      <c r="K122" s="35"/>
      <c r="L122" s="35"/>
      <c r="N122" s="399"/>
    </row>
    <row r="123" spans="1:106" s="8" customFormat="1" ht="27.75" customHeight="1">
      <c r="A123" s="21" t="s">
        <v>48</v>
      </c>
      <c r="B123" s="21" t="s">
        <v>59</v>
      </c>
      <c r="C123" s="737" t="s">
        <v>182</v>
      </c>
      <c r="D123" s="737"/>
      <c r="E123" s="737"/>
      <c r="F123" s="737"/>
      <c r="G123" s="737"/>
      <c r="H123" s="737"/>
      <c r="I123" s="737"/>
      <c r="J123" s="106"/>
      <c r="K123" s="36"/>
      <c r="L123" s="36"/>
      <c r="N123" s="399">
        <f t="shared" si="5"/>
        <v>0</v>
      </c>
    </row>
    <row r="124" spans="1:106" s="8" customFormat="1" ht="18" hidden="1" customHeight="1">
      <c r="A124" s="64" t="s">
        <v>34</v>
      </c>
      <c r="B124" s="64" t="s">
        <v>116</v>
      </c>
      <c r="C124" s="736" t="s">
        <v>128</v>
      </c>
      <c r="D124" s="736" t="s">
        <v>8</v>
      </c>
      <c r="E124" s="736"/>
      <c r="F124" s="736"/>
      <c r="G124" s="736"/>
      <c r="H124" s="736"/>
      <c r="I124" s="736"/>
      <c r="J124" s="106"/>
      <c r="K124" s="36"/>
      <c r="L124" s="36"/>
      <c r="N124" s="399">
        <f t="shared" si="5"/>
        <v>0</v>
      </c>
    </row>
    <row r="125" spans="1:106" s="8" customFormat="1" ht="20.25" hidden="1" customHeight="1">
      <c r="A125" s="86">
        <v>36</v>
      </c>
      <c r="B125" s="89" t="s">
        <v>213</v>
      </c>
      <c r="C125" s="111" t="s">
        <v>212</v>
      </c>
      <c r="D125" s="86" t="s">
        <v>176</v>
      </c>
      <c r="E125" s="87" t="s">
        <v>34</v>
      </c>
      <c r="F125" s="36"/>
      <c r="G125" s="87"/>
      <c r="H125" s="391"/>
      <c r="I125" s="77">
        <f>SUM(E126:E126)</f>
        <v>42.07</v>
      </c>
      <c r="J125" s="106"/>
      <c r="K125" s="36"/>
      <c r="L125" s="36"/>
      <c r="N125" s="399">
        <f t="shared" si="5"/>
        <v>0</v>
      </c>
    </row>
    <row r="126" spans="1:106" s="8" customFormat="1" ht="81" hidden="1" customHeight="1">
      <c r="A126" s="88"/>
      <c r="B126" s="91"/>
      <c r="C126" s="110" t="s">
        <v>577</v>
      </c>
      <c r="D126" s="88" t="s">
        <v>177</v>
      </c>
      <c r="E126" s="84">
        <v>42.07</v>
      </c>
      <c r="F126" s="386"/>
      <c r="G126" s="84"/>
      <c r="H126" s="392"/>
      <c r="I126" s="84" t="s">
        <v>34</v>
      </c>
      <c r="J126" s="106"/>
      <c r="K126" s="36"/>
      <c r="L126" s="36"/>
      <c r="N126" s="399">
        <f t="shared" si="5"/>
        <v>0</v>
      </c>
    </row>
    <row r="127" spans="1:106" s="16" customFormat="1" ht="18.75" customHeight="1">
      <c r="A127" s="64" t="s">
        <v>34</v>
      </c>
      <c r="B127" s="64" t="s">
        <v>21</v>
      </c>
      <c r="C127" s="736" t="s">
        <v>22</v>
      </c>
      <c r="D127" s="736" t="s">
        <v>8</v>
      </c>
      <c r="E127" s="736"/>
      <c r="F127" s="736"/>
      <c r="G127" s="736"/>
      <c r="H127" s="736"/>
      <c r="I127" s="736"/>
      <c r="J127" s="157"/>
      <c r="K127" s="739"/>
      <c r="L127" s="739"/>
      <c r="M127" s="8"/>
      <c r="N127" s="399">
        <f t="shared" si="5"/>
        <v>0</v>
      </c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</row>
    <row r="128" spans="1:106" s="16" customFormat="1" ht="20.25" hidden="1" customHeight="1">
      <c r="A128" s="86">
        <v>36</v>
      </c>
      <c r="B128" s="90" t="s">
        <v>220</v>
      </c>
      <c r="C128" s="111" t="s">
        <v>494</v>
      </c>
      <c r="D128" s="86" t="s">
        <v>176</v>
      </c>
      <c r="E128" s="87" t="s">
        <v>34</v>
      </c>
      <c r="F128" s="36"/>
      <c r="G128" s="87"/>
      <c r="H128" s="391"/>
      <c r="I128" s="77">
        <f>SUM(E129:E129)</f>
        <v>203.2</v>
      </c>
      <c r="J128" s="157"/>
      <c r="K128" s="104"/>
      <c r="L128" s="104"/>
      <c r="M128" s="8"/>
      <c r="N128" s="399">
        <f t="shared" si="5"/>
        <v>0</v>
      </c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</row>
    <row r="129" spans="1:106" s="16" customFormat="1" ht="51" hidden="1" customHeight="1">
      <c r="A129" s="88"/>
      <c r="B129" s="91"/>
      <c r="C129" s="110" t="s">
        <v>495</v>
      </c>
      <c r="D129" s="88" t="s">
        <v>177</v>
      </c>
      <c r="E129" s="84">
        <f>114+89.2</f>
        <v>203.2</v>
      </c>
      <c r="F129" s="386"/>
      <c r="G129" s="84"/>
      <c r="H129" s="392"/>
      <c r="I129" s="84" t="s">
        <v>34</v>
      </c>
      <c r="J129" s="157"/>
      <c r="K129" s="104"/>
      <c r="L129" s="104"/>
      <c r="M129" s="8"/>
      <c r="N129" s="399">
        <f t="shared" si="5"/>
        <v>0</v>
      </c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</row>
    <row r="130" spans="1:106" s="204" customFormat="1" ht="18" customHeight="1">
      <c r="A130" s="86">
        <v>13</v>
      </c>
      <c r="B130" s="90" t="s">
        <v>220</v>
      </c>
      <c r="C130" s="111" t="s">
        <v>574</v>
      </c>
      <c r="D130" s="86" t="s">
        <v>176</v>
      </c>
      <c r="E130" s="87" t="s">
        <v>34</v>
      </c>
      <c r="F130" s="380">
        <f>I130</f>
        <v>30</v>
      </c>
      <c r="G130" s="87">
        <v>21</v>
      </c>
      <c r="H130" s="391">
        <f>F130*G130</f>
        <v>630</v>
      </c>
      <c r="I130" s="77">
        <f>SUM(E131:E131)</f>
        <v>30</v>
      </c>
      <c r="J130" s="377"/>
      <c r="K130" s="738"/>
      <c r="L130" s="738"/>
      <c r="M130" s="8"/>
      <c r="N130" s="399">
        <f t="shared" ref="N130:N187" si="6">H130</f>
        <v>630</v>
      </c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</row>
    <row r="131" spans="1:106" s="204" customFormat="1" ht="55.5" hidden="1" customHeight="1">
      <c r="A131" s="88"/>
      <c r="B131" s="91"/>
      <c r="C131" s="110" t="s">
        <v>646</v>
      </c>
      <c r="D131" s="88" t="s">
        <v>177</v>
      </c>
      <c r="E131" s="84">
        <f>15+15</f>
        <v>30</v>
      </c>
      <c r="F131" s="380" t="str">
        <f>I131</f>
        <v>x</v>
      </c>
      <c r="G131" s="84"/>
      <c r="H131" s="392"/>
      <c r="I131" s="84" t="s">
        <v>34</v>
      </c>
      <c r="J131" s="377"/>
      <c r="K131" s="35">
        <v>24.73</v>
      </c>
      <c r="L131" s="35">
        <f>K131*I130</f>
        <v>741.9</v>
      </c>
      <c r="M131" s="8"/>
      <c r="N131" s="399">
        <f t="shared" si="6"/>
        <v>0</v>
      </c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</row>
    <row r="132" spans="1:106" s="204" customFormat="1" ht="19.5" customHeight="1">
      <c r="A132" s="86">
        <v>14</v>
      </c>
      <c r="B132" s="89" t="s">
        <v>221</v>
      </c>
      <c r="C132" s="111" t="s">
        <v>215</v>
      </c>
      <c r="D132" s="86" t="s">
        <v>176</v>
      </c>
      <c r="E132" s="87" t="s">
        <v>34</v>
      </c>
      <c r="F132" s="380">
        <f>I132</f>
        <v>44</v>
      </c>
      <c r="G132" s="87">
        <v>23.7</v>
      </c>
      <c r="H132" s="391">
        <f>F132*G132</f>
        <v>1042.8</v>
      </c>
      <c r="I132" s="77">
        <f>SUM(E133:E133)</f>
        <v>44</v>
      </c>
      <c r="J132" s="377"/>
      <c r="K132" s="35"/>
      <c r="L132" s="35"/>
      <c r="M132" s="8"/>
      <c r="N132" s="399">
        <f t="shared" si="6"/>
        <v>1042.8</v>
      </c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</row>
    <row r="133" spans="1:106" s="204" customFormat="1" ht="57.75" hidden="1" customHeight="1">
      <c r="A133" s="88"/>
      <c r="B133" s="91"/>
      <c r="C133" s="110" t="s">
        <v>645</v>
      </c>
      <c r="D133" s="88" t="s">
        <v>177</v>
      </c>
      <c r="E133" s="84">
        <f>15+15+14</f>
        <v>44</v>
      </c>
      <c r="F133" s="380" t="str">
        <f>I133</f>
        <v>x</v>
      </c>
      <c r="G133" s="84"/>
      <c r="H133" s="392"/>
      <c r="I133" s="84" t="s">
        <v>34</v>
      </c>
      <c r="J133" s="377"/>
      <c r="K133" s="35"/>
      <c r="L133" s="35"/>
      <c r="M133" s="8"/>
      <c r="N133" s="399">
        <f t="shared" si="6"/>
        <v>0</v>
      </c>
      <c r="O133" s="58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</row>
    <row r="134" spans="1:106" s="16" customFormat="1" ht="22.5" hidden="1" customHeight="1">
      <c r="A134" s="86">
        <v>38</v>
      </c>
      <c r="B134" s="89" t="s">
        <v>221</v>
      </c>
      <c r="C134" s="111" t="s">
        <v>216</v>
      </c>
      <c r="D134" s="86" t="s">
        <v>176</v>
      </c>
      <c r="E134" s="87" t="s">
        <v>34</v>
      </c>
      <c r="F134" s="36"/>
      <c r="G134" s="87"/>
      <c r="H134" s="391"/>
      <c r="I134" s="77">
        <f>SUM(E135:E135)</f>
        <v>197.75</v>
      </c>
      <c r="J134" s="157"/>
      <c r="K134" s="37"/>
      <c r="L134" s="37"/>
      <c r="M134" s="8"/>
      <c r="N134" s="399">
        <f t="shared" si="6"/>
        <v>0</v>
      </c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</row>
    <row r="135" spans="1:106" s="16" customFormat="1" ht="45" hidden="1" customHeight="1">
      <c r="A135" s="88"/>
      <c r="B135" s="91"/>
      <c r="C135" s="110" t="s">
        <v>497</v>
      </c>
      <c r="D135" s="88" t="s">
        <v>177</v>
      </c>
      <c r="E135" s="84">
        <f>121.4+76.35</f>
        <v>197.75</v>
      </c>
      <c r="F135" s="386"/>
      <c r="G135" s="84"/>
      <c r="H135" s="392"/>
      <c r="I135" s="84" t="s">
        <v>34</v>
      </c>
      <c r="J135" s="157"/>
      <c r="K135" s="37"/>
      <c r="L135" s="37"/>
      <c r="M135" s="8"/>
      <c r="N135" s="399">
        <f t="shared" si="6"/>
        <v>0</v>
      </c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</row>
    <row r="136" spans="1:106" s="16" customFormat="1" ht="17.25" customHeight="1">
      <c r="A136" s="64" t="s">
        <v>34</v>
      </c>
      <c r="B136" s="64" t="s">
        <v>331</v>
      </c>
      <c r="C136" s="736" t="s">
        <v>332</v>
      </c>
      <c r="D136" s="736" t="s">
        <v>8</v>
      </c>
      <c r="E136" s="736"/>
      <c r="F136" s="736"/>
      <c r="G136" s="736"/>
      <c r="H136" s="736"/>
      <c r="I136" s="736"/>
      <c r="J136" s="157"/>
      <c r="K136" s="37"/>
      <c r="L136" s="37"/>
      <c r="M136" s="8"/>
      <c r="N136" s="399">
        <f t="shared" si="6"/>
        <v>0</v>
      </c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</row>
    <row r="137" spans="1:106" s="16" customFormat="1" ht="22.5" customHeight="1">
      <c r="A137" s="86">
        <v>15</v>
      </c>
      <c r="B137" s="89" t="s">
        <v>333</v>
      </c>
      <c r="C137" s="111" t="s">
        <v>334</v>
      </c>
      <c r="D137" s="86" t="s">
        <v>176</v>
      </c>
      <c r="E137" s="87" t="s">
        <v>34</v>
      </c>
      <c r="F137" s="380">
        <f>I137</f>
        <v>44</v>
      </c>
      <c r="G137" s="87">
        <v>15.6</v>
      </c>
      <c r="H137" s="391">
        <f>F137*G137</f>
        <v>686.4</v>
      </c>
      <c r="I137" s="87">
        <f>E138</f>
        <v>44</v>
      </c>
      <c r="J137" s="157"/>
      <c r="K137" s="37"/>
      <c r="L137" s="37"/>
      <c r="M137" s="8"/>
      <c r="N137" s="399">
        <f t="shared" si="6"/>
        <v>686.4</v>
      </c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</row>
    <row r="138" spans="1:106" s="16" customFormat="1" ht="46.5" hidden="1" customHeight="1">
      <c r="A138" s="88"/>
      <c r="B138" s="91"/>
      <c r="C138" s="110" t="s">
        <v>647</v>
      </c>
      <c r="D138" s="88" t="s">
        <v>177</v>
      </c>
      <c r="E138" s="84">
        <v>44</v>
      </c>
      <c r="F138" s="380" t="str">
        <f>I138</f>
        <v>x</v>
      </c>
      <c r="G138" s="84"/>
      <c r="H138" s="392"/>
      <c r="I138" s="84" t="s">
        <v>34</v>
      </c>
      <c r="J138" s="157"/>
      <c r="K138" s="37"/>
      <c r="L138" s="37"/>
      <c r="M138" s="8"/>
      <c r="N138" s="399">
        <f t="shared" si="6"/>
        <v>0</v>
      </c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</row>
    <row r="139" spans="1:106" s="16" customFormat="1" ht="27.75" customHeight="1">
      <c r="A139" s="731" t="s">
        <v>661</v>
      </c>
      <c r="B139" s="731"/>
      <c r="C139" s="731"/>
      <c r="D139" s="731"/>
      <c r="E139" s="731"/>
      <c r="F139" s="731"/>
      <c r="G139" s="731"/>
      <c r="H139" s="401">
        <f>H130+H132+H137</f>
        <v>2359.1999999999998</v>
      </c>
      <c r="I139" s="84"/>
      <c r="J139" s="157"/>
      <c r="K139" s="37"/>
      <c r="L139" s="37"/>
      <c r="M139" s="8"/>
      <c r="N139" s="399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</row>
    <row r="140" spans="1:106" s="41" customFormat="1" ht="25.5">
      <c r="A140" s="21" t="s">
        <v>49</v>
      </c>
      <c r="B140" s="21" t="s">
        <v>60</v>
      </c>
      <c r="C140" s="737" t="s">
        <v>183</v>
      </c>
      <c r="D140" s="737" t="s">
        <v>8</v>
      </c>
      <c r="E140" s="737"/>
      <c r="F140" s="737"/>
      <c r="G140" s="737"/>
      <c r="H140" s="737"/>
      <c r="I140" s="737"/>
      <c r="J140" s="377"/>
      <c r="K140" s="37"/>
      <c r="L140" s="37"/>
      <c r="M140" s="14"/>
      <c r="N140" s="399">
        <f t="shared" si="6"/>
        <v>0</v>
      </c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</row>
    <row r="141" spans="1:106" s="8" customFormat="1" ht="19.5" hidden="1" customHeight="1">
      <c r="A141" s="64" t="s">
        <v>34</v>
      </c>
      <c r="B141" s="64" t="s">
        <v>23</v>
      </c>
      <c r="C141" s="736" t="s">
        <v>167</v>
      </c>
      <c r="D141" s="736" t="s">
        <v>8</v>
      </c>
      <c r="E141" s="736"/>
      <c r="F141" s="736"/>
      <c r="G141" s="736"/>
      <c r="H141" s="736"/>
      <c r="I141" s="736"/>
      <c r="J141" s="116"/>
      <c r="K141" s="739"/>
      <c r="L141" s="739"/>
      <c r="M141" s="40"/>
      <c r="N141" s="399">
        <f t="shared" si="6"/>
        <v>0</v>
      </c>
    </row>
    <row r="142" spans="1:106" s="11" customFormat="1" ht="15.75" hidden="1" customHeight="1">
      <c r="A142" s="86">
        <v>41</v>
      </c>
      <c r="B142" s="90" t="s">
        <v>0</v>
      </c>
      <c r="C142" s="111" t="s">
        <v>74</v>
      </c>
      <c r="D142" s="86" t="s">
        <v>176</v>
      </c>
      <c r="E142" s="87" t="s">
        <v>34</v>
      </c>
      <c r="F142" s="36"/>
      <c r="G142" s="87"/>
      <c r="H142" s="391"/>
      <c r="I142" s="87">
        <f>E143</f>
        <v>0</v>
      </c>
      <c r="J142" s="115"/>
      <c r="K142" s="738"/>
      <c r="L142" s="738"/>
      <c r="M142" s="40"/>
      <c r="N142" s="399">
        <f t="shared" si="6"/>
        <v>0</v>
      </c>
    </row>
    <row r="143" spans="1:106" s="8" customFormat="1" ht="57" hidden="1" customHeight="1">
      <c r="A143" s="86"/>
      <c r="B143" s="90"/>
      <c r="C143" s="110" t="s">
        <v>498</v>
      </c>
      <c r="D143" s="88" t="s">
        <v>177</v>
      </c>
      <c r="E143" s="84">
        <v>0</v>
      </c>
      <c r="F143" s="386"/>
      <c r="G143" s="84"/>
      <c r="H143" s="392"/>
      <c r="I143" s="84" t="s">
        <v>34</v>
      </c>
      <c r="J143" s="116"/>
      <c r="K143" s="35">
        <v>14.94</v>
      </c>
      <c r="L143" s="35">
        <f>K143*I142</f>
        <v>0</v>
      </c>
      <c r="M143" s="14"/>
      <c r="N143" s="399">
        <f t="shared" si="6"/>
        <v>0</v>
      </c>
    </row>
    <row r="144" spans="1:106" s="8" customFormat="1" ht="38.25" hidden="1">
      <c r="A144" s="88" t="s">
        <v>230</v>
      </c>
      <c r="B144" s="91" t="s">
        <v>0</v>
      </c>
      <c r="C144" s="110" t="s">
        <v>499</v>
      </c>
      <c r="D144" s="88" t="s">
        <v>177</v>
      </c>
      <c r="E144" s="84">
        <v>0</v>
      </c>
      <c r="F144" s="386"/>
      <c r="G144" s="84"/>
      <c r="H144" s="392"/>
      <c r="I144" s="84">
        <f>E144</f>
        <v>0</v>
      </c>
      <c r="J144" s="116"/>
      <c r="K144" s="35"/>
      <c r="L144" s="35"/>
      <c r="M144" s="40"/>
      <c r="N144" s="399">
        <f t="shared" si="6"/>
        <v>0</v>
      </c>
    </row>
    <row r="145" spans="1:14" s="8" customFormat="1" ht="18.75" hidden="1" customHeight="1">
      <c r="A145" s="86">
        <v>44</v>
      </c>
      <c r="B145" s="89" t="s">
        <v>117</v>
      </c>
      <c r="C145" s="111" t="s">
        <v>168</v>
      </c>
      <c r="D145" s="86" t="s">
        <v>176</v>
      </c>
      <c r="E145" s="87" t="s">
        <v>34</v>
      </c>
      <c r="F145" s="36"/>
      <c r="G145" s="87"/>
      <c r="H145" s="391"/>
      <c r="I145" s="87">
        <f>E146</f>
        <v>0</v>
      </c>
      <c r="J145" s="116"/>
      <c r="K145" s="35"/>
      <c r="L145" s="35"/>
      <c r="M145" s="40"/>
      <c r="N145" s="399">
        <f t="shared" si="6"/>
        <v>0</v>
      </c>
    </row>
    <row r="146" spans="1:14" s="8" customFormat="1" ht="80.25" hidden="1" customHeight="1">
      <c r="A146" s="88"/>
      <c r="B146" s="91"/>
      <c r="C146" s="110" t="s">
        <v>352</v>
      </c>
      <c r="D146" s="88" t="s">
        <v>177</v>
      </c>
      <c r="E146" s="84">
        <v>0</v>
      </c>
      <c r="F146" s="386"/>
      <c r="G146" s="84"/>
      <c r="H146" s="392"/>
      <c r="I146" s="84" t="s">
        <v>34</v>
      </c>
      <c r="J146" s="116"/>
      <c r="K146" s="35"/>
      <c r="L146" s="35"/>
      <c r="N146" s="399">
        <f t="shared" si="6"/>
        <v>0</v>
      </c>
    </row>
    <row r="147" spans="1:14" s="8" customFormat="1" ht="18.75" hidden="1" customHeight="1">
      <c r="A147" s="64" t="s">
        <v>34</v>
      </c>
      <c r="B147" s="64" t="s">
        <v>501</v>
      </c>
      <c r="C147" s="736" t="s">
        <v>500</v>
      </c>
      <c r="D147" s="736" t="s">
        <v>8</v>
      </c>
      <c r="E147" s="736"/>
      <c r="F147" s="736"/>
      <c r="G147" s="736"/>
      <c r="H147" s="736"/>
      <c r="I147" s="736"/>
      <c r="J147" s="116"/>
      <c r="K147" s="35"/>
      <c r="L147" s="35"/>
      <c r="N147" s="399">
        <f t="shared" si="6"/>
        <v>0</v>
      </c>
    </row>
    <row r="148" spans="1:14" s="8" customFormat="1" ht="21" hidden="1" customHeight="1">
      <c r="A148" s="86">
        <v>42</v>
      </c>
      <c r="B148" s="90" t="s">
        <v>196</v>
      </c>
      <c r="C148" s="111" t="s">
        <v>503</v>
      </c>
      <c r="D148" s="86" t="s">
        <v>176</v>
      </c>
      <c r="E148" s="87" t="s">
        <v>34</v>
      </c>
      <c r="F148" s="36"/>
      <c r="G148" s="87"/>
      <c r="H148" s="391"/>
      <c r="I148" s="87">
        <f>E149</f>
        <v>45.4</v>
      </c>
      <c r="J148" s="116"/>
      <c r="K148" s="35"/>
      <c r="L148" s="35"/>
      <c r="N148" s="399">
        <f t="shared" si="6"/>
        <v>0</v>
      </c>
    </row>
    <row r="149" spans="1:14" s="8" customFormat="1" ht="42.75" hidden="1" customHeight="1">
      <c r="A149" s="86"/>
      <c r="B149" s="90"/>
      <c r="C149" s="110" t="s">
        <v>504</v>
      </c>
      <c r="D149" s="88" t="s">
        <v>177</v>
      </c>
      <c r="E149" s="84">
        <f>25.9+19.5</f>
        <v>45.4</v>
      </c>
      <c r="F149" s="386"/>
      <c r="G149" s="84"/>
      <c r="H149" s="392"/>
      <c r="I149" s="84" t="s">
        <v>34</v>
      </c>
      <c r="J149" s="116"/>
      <c r="K149" s="35"/>
      <c r="L149" s="35"/>
      <c r="N149" s="399">
        <f t="shared" si="6"/>
        <v>0</v>
      </c>
    </row>
    <row r="150" spans="1:14" s="11" customFormat="1" ht="18" customHeight="1">
      <c r="A150" s="64" t="s">
        <v>34</v>
      </c>
      <c r="B150" s="64" t="s">
        <v>194</v>
      </c>
      <c r="C150" s="736" t="s">
        <v>195</v>
      </c>
      <c r="D150" s="736" t="s">
        <v>8</v>
      </c>
      <c r="E150" s="736"/>
      <c r="F150" s="736"/>
      <c r="G150" s="736"/>
      <c r="H150" s="736"/>
      <c r="I150" s="736"/>
      <c r="J150" s="117"/>
      <c r="K150" s="36"/>
      <c r="L150" s="36"/>
      <c r="M150" s="8"/>
      <c r="N150" s="399">
        <f t="shared" si="6"/>
        <v>0</v>
      </c>
    </row>
    <row r="151" spans="1:14" s="11" customFormat="1" ht="18.75" customHeight="1">
      <c r="A151" s="86">
        <v>16</v>
      </c>
      <c r="B151" s="90" t="s">
        <v>196</v>
      </c>
      <c r="C151" s="111" t="s">
        <v>578</v>
      </c>
      <c r="D151" s="86" t="s">
        <v>626</v>
      </c>
      <c r="E151" s="87" t="s">
        <v>34</v>
      </c>
      <c r="F151" s="380">
        <f>I151</f>
        <v>1</v>
      </c>
      <c r="G151" s="87">
        <v>1500</v>
      </c>
      <c r="H151" s="391">
        <f>F151*G151</f>
        <v>1500</v>
      </c>
      <c r="I151" s="87">
        <f>E152</f>
        <v>1</v>
      </c>
      <c r="J151" s="117"/>
      <c r="K151" s="36"/>
      <c r="L151" s="36"/>
      <c r="M151" s="8"/>
      <c r="N151" s="399">
        <f t="shared" si="6"/>
        <v>1500</v>
      </c>
    </row>
    <row r="152" spans="1:14" s="11" customFormat="1" ht="51" hidden="1" customHeight="1">
      <c r="A152" s="86"/>
      <c r="B152" s="90"/>
      <c r="C152" s="110" t="s">
        <v>628</v>
      </c>
      <c r="D152" s="88" t="s">
        <v>626</v>
      </c>
      <c r="E152" s="84">
        <v>1</v>
      </c>
      <c r="F152" s="380" t="str">
        <f>I152</f>
        <v>x</v>
      </c>
      <c r="G152" s="84"/>
      <c r="H152" s="392"/>
      <c r="I152" s="84" t="s">
        <v>34</v>
      </c>
      <c r="J152" s="117"/>
      <c r="K152" s="36"/>
      <c r="L152" s="36"/>
      <c r="M152" s="8"/>
      <c r="N152" s="399">
        <f t="shared" si="6"/>
        <v>0</v>
      </c>
    </row>
    <row r="153" spans="1:14" s="11" customFormat="1" ht="31.5" customHeight="1">
      <c r="A153" s="731" t="s">
        <v>663</v>
      </c>
      <c r="B153" s="731"/>
      <c r="C153" s="731"/>
      <c r="D153" s="731"/>
      <c r="E153" s="731"/>
      <c r="F153" s="731"/>
      <c r="G153" s="731"/>
      <c r="H153" s="401">
        <f>H144+H146+H151</f>
        <v>1500</v>
      </c>
      <c r="I153" s="84"/>
      <c r="J153" s="117"/>
      <c r="K153" s="36"/>
      <c r="L153" s="36"/>
      <c r="M153" s="8"/>
      <c r="N153" s="399"/>
    </row>
    <row r="154" spans="1:14" s="11" customFormat="1" ht="29.25" customHeight="1">
      <c r="A154" s="21" t="s">
        <v>61</v>
      </c>
      <c r="B154" s="21" t="s">
        <v>62</v>
      </c>
      <c r="C154" s="737" t="s">
        <v>184</v>
      </c>
      <c r="D154" s="737" t="s">
        <v>8</v>
      </c>
      <c r="E154" s="737"/>
      <c r="F154" s="737"/>
      <c r="G154" s="737"/>
      <c r="H154" s="737"/>
      <c r="I154" s="737"/>
      <c r="J154" s="117"/>
      <c r="K154" s="36"/>
      <c r="L154" s="36"/>
      <c r="M154" s="8"/>
      <c r="N154" s="399">
        <f t="shared" si="6"/>
        <v>0</v>
      </c>
    </row>
    <row r="155" spans="1:14" s="11" customFormat="1" ht="18" customHeight="1">
      <c r="A155" s="64" t="s">
        <v>34</v>
      </c>
      <c r="B155" s="64" t="s">
        <v>119</v>
      </c>
      <c r="C155" s="736" t="s">
        <v>118</v>
      </c>
      <c r="D155" s="736" t="s">
        <v>8</v>
      </c>
      <c r="E155" s="736"/>
      <c r="F155" s="736"/>
      <c r="G155" s="736"/>
      <c r="H155" s="736"/>
      <c r="I155" s="736"/>
      <c r="J155" s="117"/>
      <c r="K155" s="36"/>
      <c r="L155" s="36"/>
      <c r="M155" s="8"/>
      <c r="N155" s="399">
        <f t="shared" si="6"/>
        <v>0</v>
      </c>
    </row>
    <row r="156" spans="1:14" s="11" customFormat="1" ht="18" customHeight="1">
      <c r="A156" s="86">
        <v>17</v>
      </c>
      <c r="B156" s="89" t="s">
        <v>120</v>
      </c>
      <c r="C156" s="111" t="s">
        <v>169</v>
      </c>
      <c r="D156" s="86" t="s">
        <v>9</v>
      </c>
      <c r="E156" s="87" t="s">
        <v>34</v>
      </c>
      <c r="F156" s="380">
        <f>I156</f>
        <v>3</v>
      </c>
      <c r="G156" s="87">
        <v>21</v>
      </c>
      <c r="H156" s="391">
        <f>F156*G156</f>
        <v>63</v>
      </c>
      <c r="I156" s="87">
        <f>E157</f>
        <v>3</v>
      </c>
      <c r="J156" s="117"/>
      <c r="K156" s="36"/>
      <c r="L156" s="36"/>
      <c r="M156" s="8"/>
      <c r="N156" s="399">
        <f t="shared" si="6"/>
        <v>63</v>
      </c>
    </row>
    <row r="157" spans="1:14" s="11" customFormat="1" ht="40.5" hidden="1" customHeight="1">
      <c r="A157" s="88"/>
      <c r="B157" s="91"/>
      <c r="C157" s="110" t="s">
        <v>579</v>
      </c>
      <c r="D157" s="88" t="s">
        <v>9</v>
      </c>
      <c r="E157" s="84">
        <v>3</v>
      </c>
      <c r="F157" s="380" t="str">
        <f>I157</f>
        <v>x</v>
      </c>
      <c r="G157" s="84"/>
      <c r="H157" s="391" t="e">
        <f>F157*G157</f>
        <v>#VALUE!</v>
      </c>
      <c r="I157" s="84" t="s">
        <v>34</v>
      </c>
      <c r="J157" s="117"/>
      <c r="K157" s="36"/>
      <c r="L157" s="36"/>
      <c r="N157" s="399" t="e">
        <f t="shared" si="6"/>
        <v>#VALUE!</v>
      </c>
    </row>
    <row r="158" spans="1:14" s="11" customFormat="1" ht="18" customHeight="1">
      <c r="A158" s="86">
        <v>18</v>
      </c>
      <c r="B158" s="89" t="s">
        <v>170</v>
      </c>
      <c r="C158" s="111" t="s">
        <v>217</v>
      </c>
      <c r="D158" s="86" t="s">
        <v>9</v>
      </c>
      <c r="E158" s="87" t="s">
        <v>34</v>
      </c>
      <c r="F158" s="380">
        <f>I158</f>
        <v>5</v>
      </c>
      <c r="G158" s="87">
        <v>4.3</v>
      </c>
      <c r="H158" s="391">
        <f>F158*G158</f>
        <v>21.5</v>
      </c>
      <c r="I158" s="87">
        <f>E159</f>
        <v>5</v>
      </c>
      <c r="J158" s="117"/>
      <c r="K158" s="36"/>
      <c r="L158" s="36"/>
      <c r="N158" s="399">
        <f t="shared" si="6"/>
        <v>21.5</v>
      </c>
    </row>
    <row r="159" spans="1:14" s="11" customFormat="1" ht="42.75" hidden="1" customHeight="1">
      <c r="A159" s="86"/>
      <c r="B159" s="91"/>
      <c r="C159" s="110" t="s">
        <v>580</v>
      </c>
      <c r="D159" s="88" t="s">
        <v>9</v>
      </c>
      <c r="E159" s="84">
        <v>5</v>
      </c>
      <c r="F159" s="380" t="str">
        <f>I159</f>
        <v>x</v>
      </c>
      <c r="G159" s="84"/>
      <c r="H159" s="392"/>
      <c r="I159" s="87" t="s">
        <v>34</v>
      </c>
      <c r="J159" s="117"/>
      <c r="K159" s="36"/>
      <c r="L159" s="36"/>
      <c r="N159" s="399">
        <f t="shared" si="6"/>
        <v>0</v>
      </c>
    </row>
    <row r="160" spans="1:14" s="11" customFormat="1" ht="18" hidden="1" customHeight="1">
      <c r="A160" s="64" t="s">
        <v>34</v>
      </c>
      <c r="B160" s="64" t="s">
        <v>171</v>
      </c>
      <c r="C160" s="736" t="s">
        <v>172</v>
      </c>
      <c r="D160" s="736" t="s">
        <v>8</v>
      </c>
      <c r="E160" s="736"/>
      <c r="F160" s="736"/>
      <c r="G160" s="736"/>
      <c r="H160" s="736"/>
      <c r="I160" s="736"/>
      <c r="J160" s="117"/>
      <c r="K160" s="36"/>
      <c r="L160" s="36"/>
      <c r="N160" s="399">
        <f t="shared" si="6"/>
        <v>0</v>
      </c>
    </row>
    <row r="161" spans="1:16" s="11" customFormat="1" ht="18.75" hidden="1" customHeight="1">
      <c r="A161" s="86">
        <v>48</v>
      </c>
      <c r="B161" s="89" t="s">
        <v>173</v>
      </c>
      <c r="C161" s="111" t="s">
        <v>218</v>
      </c>
      <c r="D161" s="86" t="s">
        <v>11</v>
      </c>
      <c r="E161" s="87" t="s">
        <v>34</v>
      </c>
      <c r="F161" s="36"/>
      <c r="G161" s="87"/>
      <c r="H161" s="391"/>
      <c r="I161" s="87">
        <f>E162</f>
        <v>0</v>
      </c>
      <c r="J161" s="117"/>
      <c r="K161" s="36"/>
      <c r="L161" s="36"/>
      <c r="N161" s="399">
        <f t="shared" si="6"/>
        <v>0</v>
      </c>
    </row>
    <row r="162" spans="1:16" s="11" customFormat="1" ht="64.5" hidden="1" customHeight="1">
      <c r="A162" s="86"/>
      <c r="B162" s="91"/>
      <c r="C162" s="110" t="s">
        <v>339</v>
      </c>
      <c r="D162" s="88" t="s">
        <v>11</v>
      </c>
      <c r="E162" s="84">
        <v>0</v>
      </c>
      <c r="F162" s="386"/>
      <c r="G162" s="84"/>
      <c r="H162" s="392"/>
      <c r="I162" s="87" t="s">
        <v>34</v>
      </c>
      <c r="J162" s="117"/>
      <c r="K162" s="36"/>
      <c r="L162" s="36"/>
      <c r="N162" s="399">
        <f t="shared" si="6"/>
        <v>0</v>
      </c>
    </row>
    <row r="163" spans="1:16" s="11" customFormat="1" ht="38.25" customHeight="1">
      <c r="A163" s="731" t="s">
        <v>664</v>
      </c>
      <c r="B163" s="731"/>
      <c r="C163" s="731"/>
      <c r="D163" s="731"/>
      <c r="E163" s="731"/>
      <c r="F163" s="731"/>
      <c r="G163" s="731"/>
      <c r="H163" s="401">
        <f>H156+H158</f>
        <v>84.5</v>
      </c>
      <c r="I163" s="87"/>
      <c r="J163" s="117"/>
      <c r="K163" s="36"/>
      <c r="L163" s="36"/>
      <c r="N163" s="399"/>
    </row>
    <row r="164" spans="1:16" s="11" customFormat="1" ht="30" customHeight="1">
      <c r="A164" s="21" t="s">
        <v>63</v>
      </c>
      <c r="B164" s="21" t="s">
        <v>64</v>
      </c>
      <c r="C164" s="737" t="s">
        <v>185</v>
      </c>
      <c r="D164" s="737"/>
      <c r="E164" s="737"/>
      <c r="F164" s="737"/>
      <c r="G164" s="737"/>
      <c r="H164" s="737"/>
      <c r="I164" s="737"/>
      <c r="J164" s="117"/>
      <c r="K164" s="36"/>
      <c r="L164" s="36"/>
      <c r="N164" s="399">
        <f t="shared" si="6"/>
        <v>0</v>
      </c>
    </row>
    <row r="165" spans="1:16" s="11" customFormat="1" ht="18" customHeight="1">
      <c r="A165" s="64" t="s">
        <v>34</v>
      </c>
      <c r="B165" s="64" t="s">
        <v>24</v>
      </c>
      <c r="C165" s="736" t="s">
        <v>25</v>
      </c>
      <c r="D165" s="736" t="s">
        <v>8</v>
      </c>
      <c r="E165" s="736"/>
      <c r="F165" s="736"/>
      <c r="G165" s="736"/>
      <c r="H165" s="736"/>
      <c r="I165" s="736"/>
      <c r="J165" s="117"/>
      <c r="K165" s="36"/>
      <c r="L165" s="36"/>
      <c r="N165" s="399">
        <f t="shared" si="6"/>
        <v>0</v>
      </c>
    </row>
    <row r="166" spans="1:16" s="11" customFormat="1" ht="29.25" customHeight="1">
      <c r="A166" s="86">
        <v>19</v>
      </c>
      <c r="B166" s="90" t="s">
        <v>505</v>
      </c>
      <c r="C166" s="114" t="s">
        <v>506</v>
      </c>
      <c r="D166" s="86" t="s">
        <v>11</v>
      </c>
      <c r="E166" s="87" t="s">
        <v>34</v>
      </c>
      <c r="F166" s="380">
        <f>I166</f>
        <v>445</v>
      </c>
      <c r="G166" s="87">
        <v>33.9</v>
      </c>
      <c r="H166" s="391">
        <f>F166*G166</f>
        <v>15085.5</v>
      </c>
      <c r="I166" s="87">
        <f>SUM(E167:E167)</f>
        <v>445</v>
      </c>
      <c r="J166" s="117"/>
      <c r="K166" s="36"/>
      <c r="L166" s="36"/>
      <c r="N166" s="399">
        <f t="shared" si="6"/>
        <v>15085.5</v>
      </c>
    </row>
    <row r="167" spans="1:16" s="11" customFormat="1" ht="57.75" hidden="1" customHeight="1">
      <c r="A167" s="86"/>
      <c r="B167" s="91"/>
      <c r="C167" s="110" t="s">
        <v>629</v>
      </c>
      <c r="D167" s="88" t="s">
        <v>11</v>
      </c>
      <c r="E167" s="84">
        <v>445</v>
      </c>
      <c r="F167" s="380" t="str">
        <f>I167</f>
        <v>x</v>
      </c>
      <c r="G167" s="84"/>
      <c r="H167" s="392"/>
      <c r="I167" s="87" t="s">
        <v>34</v>
      </c>
      <c r="J167" s="117"/>
      <c r="K167" s="36"/>
      <c r="L167" s="36"/>
      <c r="N167" s="399">
        <f t="shared" si="6"/>
        <v>0</v>
      </c>
    </row>
    <row r="168" spans="1:16" s="8" customFormat="1" ht="18" customHeight="1">
      <c r="A168" s="64" t="s">
        <v>34</v>
      </c>
      <c r="B168" s="64" t="s">
        <v>26</v>
      </c>
      <c r="C168" s="736" t="s">
        <v>27</v>
      </c>
      <c r="D168" s="736" t="s">
        <v>8</v>
      </c>
      <c r="E168" s="736"/>
      <c r="F168" s="736"/>
      <c r="G168" s="736"/>
      <c r="H168" s="736"/>
      <c r="I168" s="736"/>
      <c r="J168" s="116"/>
      <c r="K168" s="35">
        <v>90.78</v>
      </c>
      <c r="L168" s="35">
        <f>K168*I166</f>
        <v>40397.1</v>
      </c>
      <c r="M168" s="11"/>
      <c r="N168" s="399">
        <f t="shared" si="6"/>
        <v>0</v>
      </c>
    </row>
    <row r="169" spans="1:16" s="8" customFormat="1" ht="18" customHeight="1">
      <c r="A169" s="86">
        <v>20</v>
      </c>
      <c r="B169" s="90" t="s">
        <v>91</v>
      </c>
      <c r="C169" s="111" t="s">
        <v>92</v>
      </c>
      <c r="D169" s="86" t="s">
        <v>176</v>
      </c>
      <c r="E169" s="87" t="s">
        <v>34</v>
      </c>
      <c r="F169" s="380">
        <f>I169</f>
        <v>520.84</v>
      </c>
      <c r="G169" s="87">
        <v>38.6</v>
      </c>
      <c r="H169" s="391">
        <f>F169*G169</f>
        <v>20104.419999999998</v>
      </c>
      <c r="I169" s="87">
        <f>E170</f>
        <v>520.84</v>
      </c>
      <c r="J169" s="116"/>
      <c r="K169" s="36"/>
      <c r="L169" s="36"/>
      <c r="M169" s="11"/>
      <c r="N169" s="399">
        <f t="shared" si="6"/>
        <v>20104.419999999998</v>
      </c>
      <c r="O169" s="39"/>
      <c r="P169" s="39"/>
    </row>
    <row r="170" spans="1:16" s="13" customFormat="1" ht="77.25" hidden="1" customHeight="1">
      <c r="A170" s="86" t="s">
        <v>8</v>
      </c>
      <c r="B170" s="92"/>
      <c r="C170" s="110" t="s">
        <v>630</v>
      </c>
      <c r="D170" s="88" t="s">
        <v>177</v>
      </c>
      <c r="E170" s="84">
        <v>520.84</v>
      </c>
      <c r="F170" s="380" t="str">
        <f>I170</f>
        <v>x</v>
      </c>
      <c r="G170" s="84"/>
      <c r="H170" s="391" t="e">
        <f>F170*G170</f>
        <v>#VALUE!</v>
      </c>
      <c r="I170" s="87" t="s">
        <v>34</v>
      </c>
      <c r="J170" s="118"/>
      <c r="K170" s="35">
        <v>72.3</v>
      </c>
      <c r="L170" s="35" t="e">
        <f>K170*#REF!</f>
        <v>#REF!</v>
      </c>
      <c r="M170" s="11"/>
      <c r="N170" s="399" t="e">
        <f t="shared" si="6"/>
        <v>#VALUE!</v>
      </c>
    </row>
    <row r="171" spans="1:16" s="8" customFormat="1" ht="19.5" customHeight="1">
      <c r="A171" s="86">
        <v>21</v>
      </c>
      <c r="B171" s="90" t="s">
        <v>1</v>
      </c>
      <c r="C171" s="111" t="s">
        <v>219</v>
      </c>
      <c r="D171" s="86" t="s">
        <v>176</v>
      </c>
      <c r="E171" s="87" t="s">
        <v>34</v>
      </c>
      <c r="F171" s="380">
        <f>I171</f>
        <v>156.21</v>
      </c>
      <c r="G171" s="87">
        <v>42.5</v>
      </c>
      <c r="H171" s="391">
        <f>F171*G171</f>
        <v>6638.93</v>
      </c>
      <c r="I171" s="87">
        <f>E172</f>
        <v>156.21</v>
      </c>
      <c r="J171" s="116"/>
      <c r="K171" s="36"/>
      <c r="L171" s="36"/>
      <c r="M171" s="11"/>
      <c r="N171" s="399">
        <f t="shared" si="6"/>
        <v>6638.93</v>
      </c>
    </row>
    <row r="172" spans="1:16" s="8" customFormat="1" ht="57" hidden="1" customHeight="1">
      <c r="A172" s="86" t="s">
        <v>8</v>
      </c>
      <c r="B172" s="92"/>
      <c r="C172" s="110" t="s">
        <v>633</v>
      </c>
      <c r="D172" s="88" t="s">
        <v>177</v>
      </c>
      <c r="E172" s="84">
        <v>156.21</v>
      </c>
      <c r="F172" s="380" t="str">
        <f>I172</f>
        <v>x</v>
      </c>
      <c r="G172" s="84"/>
      <c r="H172" s="392"/>
      <c r="I172" s="87" t="s">
        <v>34</v>
      </c>
      <c r="J172" s="116"/>
      <c r="K172" s="738"/>
      <c r="L172" s="738"/>
      <c r="N172" s="399">
        <f t="shared" si="6"/>
        <v>0</v>
      </c>
    </row>
    <row r="173" spans="1:16" s="8" customFormat="1" ht="18" customHeight="1">
      <c r="A173" s="64" t="s">
        <v>34</v>
      </c>
      <c r="B173" s="64" t="s">
        <v>28</v>
      </c>
      <c r="C173" s="736" t="s">
        <v>29</v>
      </c>
      <c r="D173" s="736" t="s">
        <v>8</v>
      </c>
      <c r="E173" s="736"/>
      <c r="F173" s="736"/>
      <c r="G173" s="736"/>
      <c r="H173" s="736"/>
      <c r="I173" s="736"/>
      <c r="J173" s="116"/>
      <c r="K173" s="262"/>
      <c r="L173" s="262"/>
      <c r="N173" s="399">
        <f t="shared" si="6"/>
        <v>0</v>
      </c>
    </row>
    <row r="174" spans="1:16" s="8" customFormat="1" ht="17.25" customHeight="1">
      <c r="A174" s="86">
        <v>22</v>
      </c>
      <c r="B174" s="90" t="s">
        <v>2</v>
      </c>
      <c r="C174" s="111" t="s">
        <v>121</v>
      </c>
      <c r="D174" s="86" t="s">
        <v>11</v>
      </c>
      <c r="E174" s="87" t="s">
        <v>34</v>
      </c>
      <c r="F174" s="380">
        <f>I174</f>
        <v>465</v>
      </c>
      <c r="G174" s="87">
        <v>28.6</v>
      </c>
      <c r="H174" s="391">
        <f>F174*G174</f>
        <v>13299</v>
      </c>
      <c r="I174" s="87">
        <f>E175</f>
        <v>465</v>
      </c>
      <c r="J174" s="116"/>
      <c r="K174" s="262"/>
      <c r="L174" s="262"/>
      <c r="N174" s="399">
        <f t="shared" si="6"/>
        <v>13299</v>
      </c>
    </row>
    <row r="175" spans="1:16" s="11" customFormat="1" ht="43.5" hidden="1" customHeight="1">
      <c r="A175" s="86" t="s">
        <v>8</v>
      </c>
      <c r="B175" s="92"/>
      <c r="C175" s="110" t="s">
        <v>634</v>
      </c>
      <c r="D175" s="88" t="s">
        <v>11</v>
      </c>
      <c r="E175" s="84">
        <v>465</v>
      </c>
      <c r="F175" s="380" t="str">
        <f>I175</f>
        <v>x</v>
      </c>
      <c r="G175" s="84"/>
      <c r="H175" s="392"/>
      <c r="I175" s="84" t="s">
        <v>34</v>
      </c>
      <c r="J175" s="115"/>
      <c r="K175" s="35">
        <v>78.42</v>
      </c>
      <c r="L175" s="35">
        <f>K175*I171</f>
        <v>12249.99</v>
      </c>
      <c r="M175" s="13"/>
      <c r="N175" s="399">
        <f t="shared" si="6"/>
        <v>0</v>
      </c>
    </row>
    <row r="176" spans="1:16" s="11" customFormat="1" ht="24.75" customHeight="1">
      <c r="A176" s="731" t="s">
        <v>665</v>
      </c>
      <c r="B176" s="731"/>
      <c r="C176" s="731"/>
      <c r="D176" s="731"/>
      <c r="E176" s="731"/>
      <c r="F176" s="731"/>
      <c r="G176" s="731"/>
      <c r="H176" s="401">
        <f>H174+H171+H169+H166</f>
        <v>55127.85</v>
      </c>
      <c r="I176" s="84"/>
      <c r="J176" s="115"/>
      <c r="K176" s="35"/>
      <c r="L176" s="35"/>
      <c r="M176" s="13"/>
      <c r="N176" s="399"/>
    </row>
    <row r="177" spans="1:14" s="11" customFormat="1" ht="28.5" customHeight="1">
      <c r="A177" s="733" t="s">
        <v>656</v>
      </c>
      <c r="B177" s="733"/>
      <c r="C177" s="733"/>
      <c r="D177" s="733"/>
      <c r="E177" s="733"/>
      <c r="F177" s="733"/>
      <c r="G177" s="733"/>
      <c r="H177" s="403">
        <f>H176+H163+H153+H139+H122+H95</f>
        <v>116706.88</v>
      </c>
      <c r="I177" s="84"/>
      <c r="J177" s="115"/>
      <c r="K177" s="35"/>
      <c r="L177" s="35"/>
      <c r="M177" s="13"/>
      <c r="N177" s="399"/>
    </row>
    <row r="178" spans="1:14" ht="37.5" customHeight="1">
      <c r="A178" s="376" t="s">
        <v>126</v>
      </c>
      <c r="B178" s="734" t="s">
        <v>635</v>
      </c>
      <c r="C178" s="734"/>
      <c r="D178" s="734"/>
      <c r="E178" s="734"/>
      <c r="F178" s="734"/>
      <c r="G178" s="734"/>
      <c r="H178" s="734"/>
      <c r="I178" s="734"/>
      <c r="J178" s="734"/>
      <c r="K178" s="734"/>
      <c r="L178" s="734"/>
      <c r="N178" s="399">
        <f t="shared" si="6"/>
        <v>0</v>
      </c>
    </row>
    <row r="179" spans="1:14" ht="25.5" customHeight="1">
      <c r="A179" s="21" t="s">
        <v>93</v>
      </c>
      <c r="B179" s="21" t="s">
        <v>636</v>
      </c>
      <c r="C179" s="735" t="s">
        <v>637</v>
      </c>
      <c r="D179" s="735"/>
      <c r="E179" s="735"/>
      <c r="F179" s="735"/>
      <c r="G179" s="735"/>
      <c r="H179" s="735"/>
      <c r="I179" s="735"/>
      <c r="J179" s="735"/>
      <c r="K179" s="735"/>
      <c r="L179" s="735"/>
      <c r="N179" s="399">
        <f t="shared" si="6"/>
        <v>0</v>
      </c>
    </row>
    <row r="180" spans="1:14" ht="20.25" customHeight="1">
      <c r="A180" s="86">
        <v>23</v>
      </c>
      <c r="B180" s="90"/>
      <c r="C180" s="111" t="s">
        <v>638</v>
      </c>
      <c r="D180" s="86" t="s">
        <v>9</v>
      </c>
      <c r="E180" s="87" t="s">
        <v>34</v>
      </c>
      <c r="F180" s="380">
        <f>I180</f>
        <v>10</v>
      </c>
      <c r="G180" s="87">
        <v>285</v>
      </c>
      <c r="H180" s="391">
        <f>F180*G180</f>
        <v>2850</v>
      </c>
      <c r="I180" s="87">
        <f>E181</f>
        <v>10</v>
      </c>
      <c r="J180" s="377"/>
      <c r="K180" s="377"/>
      <c r="L180" s="377"/>
      <c r="N180" s="399">
        <f t="shared" si="6"/>
        <v>2850</v>
      </c>
    </row>
    <row r="181" spans="1:14" ht="71.25" hidden="1" customHeight="1">
      <c r="A181" s="86" t="s">
        <v>8</v>
      </c>
      <c r="B181" s="92"/>
      <c r="C181" s="110" t="s">
        <v>649</v>
      </c>
      <c r="D181" s="88" t="s">
        <v>9</v>
      </c>
      <c r="E181" s="84">
        <v>10</v>
      </c>
      <c r="F181" s="380" t="str">
        <f>I181</f>
        <v>x</v>
      </c>
      <c r="G181" s="84"/>
      <c r="H181" s="392"/>
      <c r="I181" s="84" t="s">
        <v>34</v>
      </c>
      <c r="J181" s="377"/>
      <c r="K181" s="377"/>
      <c r="L181" s="377"/>
      <c r="N181" s="399">
        <f t="shared" si="6"/>
        <v>0</v>
      </c>
    </row>
    <row r="182" spans="1:14" ht="24.75" customHeight="1">
      <c r="A182" s="731" t="s">
        <v>666</v>
      </c>
      <c r="B182" s="731"/>
      <c r="C182" s="731"/>
      <c r="D182" s="731"/>
      <c r="E182" s="731"/>
      <c r="F182" s="731"/>
      <c r="G182" s="731"/>
      <c r="H182" s="401">
        <f>H180</f>
        <v>2850</v>
      </c>
      <c r="I182" s="84"/>
      <c r="J182" s="377"/>
      <c r="K182" s="377"/>
      <c r="L182" s="377"/>
      <c r="N182" s="399"/>
    </row>
    <row r="183" spans="1:14" ht="25.5" customHeight="1">
      <c r="A183" s="733" t="s">
        <v>660</v>
      </c>
      <c r="B183" s="733"/>
      <c r="C183" s="733"/>
      <c r="D183" s="733"/>
      <c r="E183" s="733"/>
      <c r="F183" s="733"/>
      <c r="G183" s="733"/>
      <c r="H183" s="403">
        <f>H182</f>
        <v>2850</v>
      </c>
      <c r="I183" s="84"/>
      <c r="J183" s="377"/>
      <c r="K183" s="377"/>
      <c r="L183" s="377"/>
      <c r="N183" s="399"/>
    </row>
    <row r="184" spans="1:14" ht="31.5" customHeight="1">
      <c r="A184" s="376" t="s">
        <v>639</v>
      </c>
      <c r="B184" s="734" t="s">
        <v>648</v>
      </c>
      <c r="C184" s="734"/>
      <c r="D184" s="734"/>
      <c r="E184" s="734"/>
      <c r="F184" s="734"/>
      <c r="G184" s="734"/>
      <c r="H184" s="734"/>
      <c r="I184" s="734"/>
      <c r="J184" s="734"/>
      <c r="K184" s="734"/>
      <c r="L184" s="734"/>
      <c r="N184" s="399">
        <f t="shared" si="6"/>
        <v>0</v>
      </c>
    </row>
    <row r="185" spans="1:14" ht="38.25" customHeight="1">
      <c r="A185" s="21" t="s">
        <v>33</v>
      </c>
      <c r="B185" s="21" t="s">
        <v>640</v>
      </c>
      <c r="C185" s="735" t="s">
        <v>641</v>
      </c>
      <c r="D185" s="735"/>
      <c r="E185" s="735"/>
      <c r="F185" s="735"/>
      <c r="G185" s="735"/>
      <c r="H185" s="735"/>
      <c r="I185" s="735"/>
      <c r="J185" s="735"/>
      <c r="K185" s="735"/>
      <c r="L185" s="735"/>
      <c r="N185" s="399">
        <f t="shared" si="6"/>
        <v>0</v>
      </c>
    </row>
    <row r="186" spans="1:14" ht="21" customHeight="1">
      <c r="A186" s="86">
        <v>24</v>
      </c>
      <c r="B186" s="90"/>
      <c r="C186" s="111" t="s">
        <v>642</v>
      </c>
      <c r="D186" s="86" t="s">
        <v>9</v>
      </c>
      <c r="E186" s="87" t="s">
        <v>34</v>
      </c>
      <c r="F186" s="380">
        <f>I186</f>
        <v>8</v>
      </c>
      <c r="G186" s="87">
        <v>225.6</v>
      </c>
      <c r="H186" s="391">
        <f>F186*G186</f>
        <v>1804.8</v>
      </c>
      <c r="I186" s="87">
        <f>E187</f>
        <v>8</v>
      </c>
      <c r="J186" s="377"/>
      <c r="K186" s="377"/>
      <c r="L186" s="377"/>
      <c r="N186" s="399">
        <f t="shared" si="6"/>
        <v>1804.8</v>
      </c>
    </row>
    <row r="187" spans="1:14" ht="76.5" hidden="1">
      <c r="A187" s="86" t="s">
        <v>8</v>
      </c>
      <c r="B187" s="92"/>
      <c r="C187" s="110" t="s">
        <v>650</v>
      </c>
      <c r="D187" s="88" t="s">
        <v>9</v>
      </c>
      <c r="E187" s="84">
        <v>8</v>
      </c>
      <c r="F187" s="380" t="str">
        <f>I187</f>
        <v>x</v>
      </c>
      <c r="G187" s="84"/>
      <c r="H187" s="392"/>
      <c r="I187" s="84" t="s">
        <v>34</v>
      </c>
      <c r="J187" s="377"/>
      <c r="K187" s="377"/>
      <c r="L187" s="377"/>
      <c r="N187" s="399">
        <f t="shared" si="6"/>
        <v>0</v>
      </c>
    </row>
    <row r="188" spans="1:14" ht="26.25" customHeight="1">
      <c r="A188" s="731" t="s">
        <v>223</v>
      </c>
      <c r="B188" s="731"/>
      <c r="C188" s="731"/>
      <c r="D188" s="731"/>
      <c r="E188" s="731"/>
      <c r="F188" s="731"/>
      <c r="G188" s="731"/>
      <c r="H188" s="401">
        <f>H186</f>
        <v>1804.8</v>
      </c>
      <c r="I188" s="405"/>
      <c r="J188" s="377"/>
      <c r="K188" s="377"/>
      <c r="L188" s="377"/>
      <c r="N188" s="399"/>
    </row>
    <row r="189" spans="1:14" ht="28.5" customHeight="1">
      <c r="A189" s="733" t="s">
        <v>662</v>
      </c>
      <c r="B189" s="733"/>
      <c r="C189" s="733"/>
      <c r="D189" s="733"/>
      <c r="E189" s="733"/>
      <c r="F189" s="733"/>
      <c r="G189" s="733"/>
      <c r="H189" s="403">
        <f>H188</f>
        <v>1804.8</v>
      </c>
      <c r="I189" s="405"/>
      <c r="J189" s="377"/>
      <c r="K189" s="377"/>
      <c r="L189" s="377"/>
      <c r="N189" s="399"/>
    </row>
    <row r="190" spans="1:14" ht="21.75" customHeight="1">
      <c r="A190" s="732" t="s">
        <v>191</v>
      </c>
      <c r="B190" s="732"/>
      <c r="C190" s="732"/>
      <c r="D190" s="732"/>
      <c r="E190" s="732"/>
      <c r="F190" s="732"/>
      <c r="G190" s="732"/>
      <c r="H190" s="397">
        <f>H189+H183+H177+H15</f>
        <v>124161.68</v>
      </c>
      <c r="I190" s="406" t="e">
        <f>I189+#REF!</f>
        <v>#REF!</v>
      </c>
      <c r="J190" s="377"/>
      <c r="K190" s="377"/>
      <c r="L190" s="377"/>
    </row>
    <row r="191" spans="1:14" ht="24" customHeight="1">
      <c r="A191" s="732" t="s">
        <v>192</v>
      </c>
      <c r="B191" s="732"/>
      <c r="C191" s="732"/>
      <c r="D191" s="732"/>
      <c r="E191" s="732"/>
      <c r="F191" s="732"/>
      <c r="G191" s="732"/>
      <c r="H191" s="397">
        <f>H192-H190</f>
        <v>28557.19</v>
      </c>
      <c r="I191" s="406" t="e">
        <f>0.23*I190</f>
        <v>#REF!</v>
      </c>
      <c r="J191" s="377"/>
      <c r="K191" s="377"/>
      <c r="L191" s="377"/>
    </row>
    <row r="192" spans="1:14" ht="27" customHeight="1">
      <c r="A192" s="732" t="s">
        <v>193</v>
      </c>
      <c r="B192" s="732"/>
      <c r="C192" s="732"/>
      <c r="D192" s="732"/>
      <c r="E192" s="732"/>
      <c r="F192" s="732"/>
      <c r="G192" s="732"/>
      <c r="H192" s="397">
        <f>H190*1.23</f>
        <v>152718.87</v>
      </c>
      <c r="I192" s="406" t="e">
        <f>I190+I191</f>
        <v>#REF!</v>
      </c>
      <c r="J192" s="377"/>
      <c r="K192" s="377"/>
      <c r="L192" s="377"/>
    </row>
    <row r="193" spans="9:9">
      <c r="I193" s="18"/>
    </row>
    <row r="194" spans="9:9">
      <c r="I194" s="18"/>
    </row>
    <row r="195" spans="9:9">
      <c r="I195" s="18"/>
    </row>
  </sheetData>
  <autoFilter ref="A3:I175"/>
  <mergeCells count="76">
    <mergeCell ref="A1:I1"/>
    <mergeCell ref="K1:L1"/>
    <mergeCell ref="A2:I2"/>
    <mergeCell ref="K2:L2"/>
    <mergeCell ref="B4:I4"/>
    <mergeCell ref="K4:L4"/>
    <mergeCell ref="C5:I5"/>
    <mergeCell ref="K5:L5"/>
    <mergeCell ref="C6:I6"/>
    <mergeCell ref="B16:I16"/>
    <mergeCell ref="K16:L16"/>
    <mergeCell ref="A14:G14"/>
    <mergeCell ref="A15:G15"/>
    <mergeCell ref="C17:I17"/>
    <mergeCell ref="K17:L17"/>
    <mergeCell ref="C18:I18"/>
    <mergeCell ref="K18:L18"/>
    <mergeCell ref="C21:I21"/>
    <mergeCell ref="C26:I26"/>
    <mergeCell ref="K26:L26"/>
    <mergeCell ref="C31:I31"/>
    <mergeCell ref="K31:L31"/>
    <mergeCell ref="C56:I56"/>
    <mergeCell ref="C57:I57"/>
    <mergeCell ref="C62:I62"/>
    <mergeCell ref="C67:I67"/>
    <mergeCell ref="C68:I68"/>
    <mergeCell ref="C75:I75"/>
    <mergeCell ref="C78:I78"/>
    <mergeCell ref="C96:I96"/>
    <mergeCell ref="C97:I97"/>
    <mergeCell ref="K97:L97"/>
    <mergeCell ref="C100:I100"/>
    <mergeCell ref="A95:G95"/>
    <mergeCell ref="C103:I103"/>
    <mergeCell ref="K106:L106"/>
    <mergeCell ref="C112:I112"/>
    <mergeCell ref="K115:L115"/>
    <mergeCell ref="C117:I117"/>
    <mergeCell ref="C160:I160"/>
    <mergeCell ref="C127:I127"/>
    <mergeCell ref="K127:L127"/>
    <mergeCell ref="K130:L130"/>
    <mergeCell ref="C136:I136"/>
    <mergeCell ref="C140:I140"/>
    <mergeCell ref="C141:I141"/>
    <mergeCell ref="K141:L141"/>
    <mergeCell ref="K142:L142"/>
    <mergeCell ref="C147:I147"/>
    <mergeCell ref="C150:I150"/>
    <mergeCell ref="C154:I154"/>
    <mergeCell ref="C155:I155"/>
    <mergeCell ref="A190:G190"/>
    <mergeCell ref="A191:G191"/>
    <mergeCell ref="A192:G192"/>
    <mergeCell ref="A183:G183"/>
    <mergeCell ref="A188:G188"/>
    <mergeCell ref="A189:G189"/>
    <mergeCell ref="B184:L184"/>
    <mergeCell ref="C185:L185"/>
    <mergeCell ref="A122:G122"/>
    <mergeCell ref="A139:G139"/>
    <mergeCell ref="A153:G153"/>
    <mergeCell ref="A163:G163"/>
    <mergeCell ref="A182:G182"/>
    <mergeCell ref="C164:I164"/>
    <mergeCell ref="C165:I165"/>
    <mergeCell ref="C179:L179"/>
    <mergeCell ref="C168:I168"/>
    <mergeCell ref="K172:L172"/>
    <mergeCell ref="C173:I173"/>
    <mergeCell ref="B178:L178"/>
    <mergeCell ref="A177:G177"/>
    <mergeCell ref="A176:G176"/>
    <mergeCell ref="C123:I123"/>
    <mergeCell ref="C124:I124"/>
  </mergeCells>
  <pageMargins left="0.7" right="0.7" top="0.75" bottom="0.75" header="0.3" footer="0.3"/>
  <pageSetup paperSize="9" scale="61" fitToHeight="0" orientation="portrait" r:id="rId1"/>
  <rowBreaks count="1" manualBreakCount="1">
    <brk id="163" max="8" man="1"/>
  </rowBreaks>
  <colBreaks count="1" manualBreakCount="1">
    <brk id="8" max="191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V186"/>
  <sheetViews>
    <sheetView topLeftCell="A19" zoomScaleNormal="100" zoomScaleSheetLayoutView="100" workbookViewId="0">
      <selection activeCell="S83" sqref="S83"/>
    </sheetView>
  </sheetViews>
  <sheetFormatPr defaultRowHeight="12.75"/>
  <cols>
    <col min="1" max="1" width="10.28515625" style="17" customWidth="1"/>
    <col min="2" max="2" width="15.5703125" style="40" customWidth="1"/>
    <col min="3" max="3" width="65.7109375" style="42" customWidth="1"/>
    <col min="4" max="4" width="10.42578125" style="43" customWidth="1"/>
    <col min="5" max="5" width="9.7109375" style="18" customWidth="1"/>
    <col min="6" max="6" width="13" style="20" customWidth="1"/>
    <col min="7" max="7" width="6.140625" style="40" hidden="1" customWidth="1"/>
    <col min="8" max="8" width="12.140625" style="40" hidden="1" customWidth="1"/>
    <col min="9" max="9" width="13" style="40" hidden="1" customWidth="1"/>
    <col min="10" max="10" width="9.140625" style="40"/>
    <col min="11" max="11" width="10" style="40" bestFit="1" customWidth="1"/>
    <col min="12" max="16384" width="9.140625" style="40"/>
  </cols>
  <sheetData>
    <row r="1" spans="1:11" s="4" customFormat="1" ht="31.5" customHeight="1" thickBot="1">
      <c r="A1" s="1018" t="s">
        <v>16</v>
      </c>
      <c r="B1" s="1019"/>
      <c r="C1" s="1019"/>
      <c r="D1" s="1019"/>
      <c r="E1" s="1019"/>
      <c r="F1" s="1020"/>
      <c r="G1" s="2"/>
      <c r="H1" s="1021"/>
      <c r="I1" s="1022"/>
    </row>
    <row r="2" spans="1:11" s="4" customFormat="1" ht="39.75" customHeight="1" thickBot="1">
      <c r="A2" s="1023" t="s">
        <v>507</v>
      </c>
      <c r="B2" s="1024"/>
      <c r="C2" s="1024"/>
      <c r="D2" s="1024"/>
      <c r="E2" s="1024"/>
      <c r="F2" s="1025"/>
      <c r="G2" s="5"/>
      <c r="H2" s="1026"/>
      <c r="I2" s="1027"/>
      <c r="J2" s="6"/>
      <c r="K2" s="6"/>
    </row>
    <row r="3" spans="1:11" ht="45" customHeight="1" thickBot="1">
      <c r="A3" s="142" t="s">
        <v>3</v>
      </c>
      <c r="B3" s="143" t="s">
        <v>199</v>
      </c>
      <c r="C3" s="144" t="s">
        <v>4</v>
      </c>
      <c r="D3" s="144" t="s">
        <v>5</v>
      </c>
      <c r="E3" s="145" t="s">
        <v>6</v>
      </c>
      <c r="F3" s="146" t="s">
        <v>7</v>
      </c>
      <c r="G3" s="3"/>
      <c r="H3" s="22" t="s">
        <v>66</v>
      </c>
      <c r="I3" s="22" t="s">
        <v>67</v>
      </c>
      <c r="J3" s="3"/>
    </row>
    <row r="4" spans="1:11" ht="19.5" customHeight="1">
      <c r="A4" s="62" t="s">
        <v>33</v>
      </c>
      <c r="B4" s="1028" t="s">
        <v>127</v>
      </c>
      <c r="C4" s="1029"/>
      <c r="D4" s="1029"/>
      <c r="E4" s="1029"/>
      <c r="F4" s="1030"/>
      <c r="G4" s="3"/>
      <c r="H4" s="1021"/>
      <c r="I4" s="1022"/>
      <c r="J4" s="3"/>
    </row>
    <row r="5" spans="1:11" ht="26.25" customHeight="1">
      <c r="A5" s="24" t="s">
        <v>54</v>
      </c>
      <c r="B5" s="21" t="s">
        <v>69</v>
      </c>
      <c r="C5" s="737" t="s">
        <v>46</v>
      </c>
      <c r="D5" s="737"/>
      <c r="E5" s="737"/>
      <c r="F5" s="1031"/>
      <c r="G5" s="3"/>
      <c r="H5" s="1026"/>
      <c r="I5" s="1027"/>
      <c r="J5" s="3"/>
    </row>
    <row r="6" spans="1:11" ht="18.75" customHeight="1">
      <c r="A6" s="63" t="s">
        <v>34</v>
      </c>
      <c r="B6" s="64" t="s">
        <v>65</v>
      </c>
      <c r="C6" s="736" t="s">
        <v>100</v>
      </c>
      <c r="D6" s="736"/>
      <c r="E6" s="736"/>
      <c r="F6" s="1032"/>
      <c r="G6" s="3"/>
      <c r="H6" s="263"/>
      <c r="I6" s="264"/>
      <c r="J6" s="3"/>
    </row>
    <row r="7" spans="1:11" ht="18.75" customHeight="1">
      <c r="A7" s="65" t="s">
        <v>101</v>
      </c>
      <c r="B7" s="66" t="str">
        <f t="shared" ref="B7:B13" si="0">B6</f>
        <v>00.00.00</v>
      </c>
      <c r="C7" s="67" t="s">
        <v>129</v>
      </c>
      <c r="D7" s="103" t="s">
        <v>325</v>
      </c>
      <c r="E7" s="68">
        <v>1</v>
      </c>
      <c r="F7" s="127">
        <f t="shared" ref="F7:F13" si="1">E7</f>
        <v>1</v>
      </c>
      <c r="G7" s="3"/>
      <c r="H7" s="263"/>
      <c r="I7" s="264"/>
      <c r="J7" s="3"/>
    </row>
    <row r="8" spans="1:11" ht="40.5" customHeight="1">
      <c r="A8" s="65" t="s">
        <v>102</v>
      </c>
      <c r="B8" s="66" t="str">
        <f t="shared" si="0"/>
        <v>00.00.00</v>
      </c>
      <c r="C8" s="67" t="s">
        <v>174</v>
      </c>
      <c r="D8" s="103" t="s">
        <v>325</v>
      </c>
      <c r="E8" s="68">
        <v>1</v>
      </c>
      <c r="F8" s="127">
        <f t="shared" si="1"/>
        <v>1</v>
      </c>
      <c r="G8" s="3"/>
      <c r="H8" s="263"/>
      <c r="I8" s="264"/>
      <c r="J8" s="3"/>
    </row>
    <row r="9" spans="1:11" ht="28.5" customHeight="1">
      <c r="A9" s="65" t="s">
        <v>103</v>
      </c>
      <c r="B9" s="66" t="str">
        <f t="shared" si="0"/>
        <v>00.00.00</v>
      </c>
      <c r="C9" s="67" t="s">
        <v>508</v>
      </c>
      <c r="D9" s="103" t="s">
        <v>325</v>
      </c>
      <c r="E9" s="68">
        <v>1</v>
      </c>
      <c r="F9" s="127">
        <f t="shared" si="1"/>
        <v>1</v>
      </c>
      <c r="G9" s="3"/>
      <c r="H9" s="263"/>
      <c r="I9" s="264"/>
      <c r="J9" s="3"/>
    </row>
    <row r="10" spans="1:11" ht="38.25" customHeight="1">
      <c r="A10" s="65" t="s">
        <v>104</v>
      </c>
      <c r="B10" s="66" t="str">
        <f t="shared" si="0"/>
        <v>00.00.00</v>
      </c>
      <c r="C10" s="67" t="s">
        <v>200</v>
      </c>
      <c r="D10" s="103" t="s">
        <v>325</v>
      </c>
      <c r="E10" s="68">
        <v>1</v>
      </c>
      <c r="F10" s="127">
        <f t="shared" si="1"/>
        <v>1</v>
      </c>
      <c r="G10" s="3"/>
      <c r="H10" s="263"/>
      <c r="I10" s="264"/>
      <c r="J10" s="3"/>
    </row>
    <row r="11" spans="1:11" ht="28.5" customHeight="1">
      <c r="A11" s="65" t="s">
        <v>105</v>
      </c>
      <c r="B11" s="66" t="str">
        <f>B10</f>
        <v>00.00.00</v>
      </c>
      <c r="C11" s="67" t="s">
        <v>327</v>
      </c>
      <c r="D11" s="103" t="s">
        <v>325</v>
      </c>
      <c r="E11" s="68">
        <v>1</v>
      </c>
      <c r="F11" s="127">
        <f t="shared" si="1"/>
        <v>1</v>
      </c>
      <c r="G11" s="3"/>
      <c r="H11" s="263"/>
      <c r="I11" s="264"/>
      <c r="J11" s="3"/>
    </row>
    <row r="12" spans="1:11" ht="51.75" customHeight="1">
      <c r="A12" s="65" t="s">
        <v>106</v>
      </c>
      <c r="B12" s="66" t="str">
        <f t="shared" si="0"/>
        <v>00.00.00</v>
      </c>
      <c r="C12" s="67" t="s">
        <v>563</v>
      </c>
      <c r="D12" s="103" t="s">
        <v>325</v>
      </c>
      <c r="E12" s="68">
        <v>1</v>
      </c>
      <c r="F12" s="127">
        <f t="shared" si="1"/>
        <v>1</v>
      </c>
      <c r="G12" s="3"/>
      <c r="H12" s="263"/>
      <c r="I12" s="264"/>
      <c r="J12" s="3"/>
    </row>
    <row r="13" spans="1:11" ht="69.75" customHeight="1">
      <c r="A13" s="65" t="s">
        <v>130</v>
      </c>
      <c r="B13" s="66" t="str">
        <f t="shared" si="0"/>
        <v>00.00.00</v>
      </c>
      <c r="C13" s="67" t="s">
        <v>407</v>
      </c>
      <c r="D13" s="103" t="s">
        <v>325</v>
      </c>
      <c r="E13" s="68">
        <v>1</v>
      </c>
      <c r="F13" s="127">
        <f t="shared" si="1"/>
        <v>1</v>
      </c>
      <c r="G13" s="3"/>
      <c r="H13" s="263"/>
      <c r="I13" s="264"/>
      <c r="J13" s="3"/>
    </row>
    <row r="14" spans="1:11" ht="20.25" customHeight="1">
      <c r="A14" s="23" t="s">
        <v>37</v>
      </c>
      <c r="B14" s="734" t="s">
        <v>424</v>
      </c>
      <c r="C14" s="742"/>
      <c r="D14" s="742"/>
      <c r="E14" s="742"/>
      <c r="F14" s="1033"/>
      <c r="G14" s="3"/>
      <c r="H14" s="1021"/>
      <c r="I14" s="1022"/>
      <c r="J14" s="3"/>
    </row>
    <row r="15" spans="1:11" s="267" customFormat="1" ht="27" customHeight="1">
      <c r="A15" s="24" t="s">
        <v>56</v>
      </c>
      <c r="B15" s="21" t="s">
        <v>55</v>
      </c>
      <c r="C15" s="737" t="s">
        <v>175</v>
      </c>
      <c r="D15" s="737"/>
      <c r="E15" s="737"/>
      <c r="F15" s="1031"/>
      <c r="H15" s="1034"/>
      <c r="I15" s="1035"/>
    </row>
    <row r="16" spans="1:11" ht="18" customHeight="1">
      <c r="A16" s="63" t="s">
        <v>34</v>
      </c>
      <c r="B16" s="73" t="s">
        <v>13</v>
      </c>
      <c r="C16" s="736" t="s">
        <v>107</v>
      </c>
      <c r="D16" s="736"/>
      <c r="E16" s="740"/>
      <c r="F16" s="1036"/>
      <c r="G16" s="3"/>
      <c r="H16" s="738"/>
      <c r="I16" s="738"/>
      <c r="J16" s="3"/>
    </row>
    <row r="17" spans="1:12" s="14" customFormat="1" ht="18.75" customHeight="1">
      <c r="A17" s="65">
        <v>2</v>
      </c>
      <c r="B17" s="75" t="s">
        <v>131</v>
      </c>
      <c r="C17" s="76" t="s">
        <v>202</v>
      </c>
      <c r="D17" s="74" t="s">
        <v>197</v>
      </c>
      <c r="E17" s="78" t="s">
        <v>34</v>
      </c>
      <c r="F17" s="323">
        <f>SUM(E18:E18)</f>
        <v>0.06</v>
      </c>
      <c r="G17" s="38"/>
      <c r="H17" s="35">
        <v>3524.44</v>
      </c>
      <c r="I17" s="35">
        <f>H17*F17</f>
        <v>211.47</v>
      </c>
      <c r="J17" s="1"/>
    </row>
    <row r="18" spans="1:12" ht="71.25" customHeight="1">
      <c r="A18" s="65"/>
      <c r="B18" s="79"/>
      <c r="C18" s="80" t="s">
        <v>515</v>
      </c>
      <c r="D18" s="81" t="s">
        <v>197</v>
      </c>
      <c r="E18" s="82">
        <f>(260-200)/1000</f>
        <v>0.06</v>
      </c>
      <c r="F18" s="98" t="s">
        <v>34</v>
      </c>
      <c r="G18" s="3"/>
      <c r="H18" s="35"/>
      <c r="I18" s="35"/>
      <c r="J18" s="3"/>
    </row>
    <row r="19" spans="1:12" ht="16.5" customHeight="1">
      <c r="A19" s="63" t="s">
        <v>34</v>
      </c>
      <c r="B19" s="324" t="s">
        <v>408</v>
      </c>
      <c r="C19" s="736" t="s">
        <v>409</v>
      </c>
      <c r="D19" s="736"/>
      <c r="E19" s="740"/>
      <c r="F19" s="1036"/>
      <c r="G19" s="3"/>
      <c r="H19" s="55"/>
      <c r="I19" s="56"/>
      <c r="J19" s="3"/>
    </row>
    <row r="20" spans="1:12" ht="19.5" customHeight="1">
      <c r="A20" s="65">
        <v>3</v>
      </c>
      <c r="B20" s="75" t="s">
        <v>411</v>
      </c>
      <c r="C20" s="76" t="s">
        <v>410</v>
      </c>
      <c r="D20" s="74" t="s">
        <v>12</v>
      </c>
      <c r="E20" s="78" t="s">
        <v>34</v>
      </c>
      <c r="F20" s="323">
        <f>SUM(E21:E21)</f>
        <v>0</v>
      </c>
      <c r="G20" s="3"/>
      <c r="H20" s="55"/>
      <c r="I20" s="56"/>
      <c r="J20" s="3"/>
    </row>
    <row r="21" spans="1:12" ht="64.5" customHeight="1">
      <c r="A21" s="65"/>
      <c r="B21" s="79"/>
      <c r="C21" s="80" t="s">
        <v>516</v>
      </c>
      <c r="D21" s="81" t="s">
        <v>12</v>
      </c>
      <c r="E21" s="82">
        <v>0</v>
      </c>
      <c r="F21" s="98" t="s">
        <v>34</v>
      </c>
      <c r="G21" s="3"/>
      <c r="H21" s="55"/>
      <c r="I21" s="56"/>
      <c r="J21" s="3"/>
    </row>
    <row r="22" spans="1:12" ht="19.5" customHeight="1">
      <c r="A22" s="65">
        <v>4</v>
      </c>
      <c r="B22" s="75" t="s">
        <v>412</v>
      </c>
      <c r="C22" s="76" t="s">
        <v>413</v>
      </c>
      <c r="D22" s="74" t="s">
        <v>176</v>
      </c>
      <c r="E22" s="78" t="s">
        <v>34</v>
      </c>
      <c r="F22" s="323">
        <f>SUM(E23:E23)</f>
        <v>0</v>
      </c>
      <c r="G22" s="3"/>
      <c r="H22" s="55"/>
      <c r="I22" s="56"/>
      <c r="J22" s="3"/>
    </row>
    <row r="23" spans="1:12" ht="54" customHeight="1">
      <c r="A23" s="65"/>
      <c r="B23" s="79"/>
      <c r="C23" s="80" t="s">
        <v>517</v>
      </c>
      <c r="D23" s="81" t="s">
        <v>177</v>
      </c>
      <c r="E23" s="82">
        <v>0</v>
      </c>
      <c r="F23" s="98" t="s">
        <v>34</v>
      </c>
      <c r="G23" s="3"/>
      <c r="H23" s="55"/>
      <c r="I23" s="56"/>
      <c r="J23" s="3"/>
    </row>
    <row r="24" spans="1:12" ht="18" customHeight="1">
      <c r="A24" s="63" t="s">
        <v>34</v>
      </c>
      <c r="B24" s="64" t="s">
        <v>14</v>
      </c>
      <c r="C24" s="800" t="s">
        <v>108</v>
      </c>
      <c r="D24" s="801"/>
      <c r="E24" s="801"/>
      <c r="F24" s="1037"/>
      <c r="G24" s="3"/>
      <c r="H24" s="1038"/>
      <c r="I24" s="1039"/>
      <c r="J24" s="3"/>
    </row>
    <row r="25" spans="1:12" s="14" customFormat="1" ht="28.5" customHeight="1">
      <c r="A25" s="65">
        <v>5</v>
      </c>
      <c r="B25" s="75" t="s">
        <v>418</v>
      </c>
      <c r="C25" s="76" t="s">
        <v>417</v>
      </c>
      <c r="D25" s="74" t="s">
        <v>176</v>
      </c>
      <c r="E25" s="78" t="s">
        <v>34</v>
      </c>
      <c r="F25" s="323">
        <f>E26</f>
        <v>0</v>
      </c>
      <c r="G25" s="1"/>
      <c r="H25" s="35">
        <v>0.48</v>
      </c>
      <c r="I25" s="35">
        <f>H25*F25</f>
        <v>0</v>
      </c>
      <c r="J25" s="1"/>
    </row>
    <row r="26" spans="1:12" ht="68.25" customHeight="1">
      <c r="A26" s="65"/>
      <c r="B26" s="79"/>
      <c r="C26" s="80" t="s">
        <v>518</v>
      </c>
      <c r="D26" s="81" t="s">
        <v>177</v>
      </c>
      <c r="E26" s="82">
        <v>0</v>
      </c>
      <c r="F26" s="123" t="s">
        <v>34</v>
      </c>
      <c r="G26" s="3"/>
      <c r="H26" s="35"/>
      <c r="I26" s="35"/>
      <c r="J26" s="3"/>
    </row>
    <row r="27" spans="1:12" ht="27.75" customHeight="1">
      <c r="A27" s="65">
        <v>5</v>
      </c>
      <c r="B27" s="75" t="s">
        <v>226</v>
      </c>
      <c r="C27" s="76" t="s">
        <v>421</v>
      </c>
      <c r="D27" s="74" t="s">
        <v>176</v>
      </c>
      <c r="E27" s="78" t="s">
        <v>34</v>
      </c>
      <c r="F27" s="323">
        <f>E28</f>
        <v>0</v>
      </c>
      <c r="G27" s="3"/>
      <c r="H27" s="35"/>
      <c r="I27" s="35"/>
      <c r="J27" s="3"/>
      <c r="L27" s="284"/>
    </row>
    <row r="28" spans="1:12" ht="54" customHeight="1">
      <c r="A28" s="65"/>
      <c r="B28" s="79"/>
      <c r="C28" s="80" t="s">
        <v>422</v>
      </c>
      <c r="D28" s="81" t="s">
        <v>177</v>
      </c>
      <c r="E28" s="82">
        <v>0</v>
      </c>
      <c r="F28" s="123" t="s">
        <v>34</v>
      </c>
      <c r="G28" s="3"/>
      <c r="H28" s="35"/>
      <c r="I28" s="35"/>
      <c r="J28" s="3"/>
    </row>
    <row r="29" spans="1:12" ht="18" hidden="1" customHeight="1">
      <c r="A29" s="63" t="s">
        <v>34</v>
      </c>
      <c r="B29" s="64" t="s">
        <v>15</v>
      </c>
      <c r="C29" s="736" t="s">
        <v>10</v>
      </c>
      <c r="D29" s="736"/>
      <c r="E29" s="736"/>
      <c r="F29" s="1032"/>
      <c r="G29" s="3"/>
      <c r="H29" s="738"/>
      <c r="I29" s="738"/>
      <c r="J29" s="3"/>
    </row>
    <row r="30" spans="1:12" ht="18" hidden="1" customHeight="1">
      <c r="A30" s="119">
        <v>6</v>
      </c>
      <c r="B30" s="107" t="s">
        <v>30</v>
      </c>
      <c r="C30" s="269" t="s">
        <v>423</v>
      </c>
      <c r="D30" s="270" t="s">
        <v>416</v>
      </c>
      <c r="E30" s="202" t="s">
        <v>34</v>
      </c>
      <c r="F30" s="271">
        <f>SUM(E31)</f>
        <v>0</v>
      </c>
      <c r="G30" s="3"/>
      <c r="H30" s="262"/>
      <c r="I30" s="262"/>
      <c r="J30" s="3"/>
    </row>
    <row r="31" spans="1:12" ht="72.75" hidden="1" customHeight="1">
      <c r="A31" s="119"/>
      <c r="B31" s="272"/>
      <c r="C31" s="273" t="s">
        <v>425</v>
      </c>
      <c r="D31" s="274" t="s">
        <v>420</v>
      </c>
      <c r="E31" s="275">
        <v>0</v>
      </c>
      <c r="F31" s="277" t="s">
        <v>34</v>
      </c>
      <c r="G31" s="3"/>
      <c r="H31" s="262"/>
      <c r="I31" s="262"/>
      <c r="J31" s="3"/>
    </row>
    <row r="32" spans="1:12" ht="43.5" hidden="1" customHeight="1">
      <c r="A32" s="278" t="s">
        <v>35</v>
      </c>
      <c r="B32" s="279" t="str">
        <f>B30</f>
        <v>01.02.04.11</v>
      </c>
      <c r="C32" s="280" t="s">
        <v>426</v>
      </c>
      <c r="D32" s="281" t="s">
        <v>427</v>
      </c>
      <c r="E32" s="282">
        <f>E31*0.25</f>
        <v>0</v>
      </c>
      <c r="F32" s="283">
        <f>E32</f>
        <v>0</v>
      </c>
      <c r="G32" s="3"/>
      <c r="H32" s="262"/>
      <c r="I32" s="262"/>
      <c r="J32" s="3"/>
    </row>
    <row r="33" spans="1:177" s="14" customFormat="1" ht="19.5" hidden="1" customHeight="1">
      <c r="A33" s="119">
        <v>7</v>
      </c>
      <c r="B33" s="107" t="s">
        <v>109</v>
      </c>
      <c r="C33" s="269" t="s">
        <v>428</v>
      </c>
      <c r="D33" s="270" t="s">
        <v>416</v>
      </c>
      <c r="E33" s="202" t="s">
        <v>34</v>
      </c>
      <c r="F33" s="271">
        <f>SUM(E34)</f>
        <v>0</v>
      </c>
      <c r="G33" s="1"/>
      <c r="H33" s="35">
        <v>13.88</v>
      </c>
      <c r="I33" s="35">
        <f>H33*F33</f>
        <v>0</v>
      </c>
      <c r="J33" s="1"/>
    </row>
    <row r="34" spans="1:177" ht="33" hidden="1" customHeight="1">
      <c r="A34" s="119"/>
      <c r="B34" s="272"/>
      <c r="C34" s="273" t="s">
        <v>429</v>
      </c>
      <c r="D34" s="274" t="s">
        <v>420</v>
      </c>
      <c r="E34" s="275">
        <v>0</v>
      </c>
      <c r="F34" s="123" t="s">
        <v>34</v>
      </c>
      <c r="G34" s="3"/>
      <c r="H34" s="35"/>
      <c r="I34" s="35"/>
      <c r="J34" s="3"/>
    </row>
    <row r="35" spans="1:177" s="15" customFormat="1" ht="40.5" hidden="1" customHeight="1">
      <c r="A35" s="278" t="s">
        <v>132</v>
      </c>
      <c r="B35" s="279" t="str">
        <f>B33</f>
        <v>01.02.04.21</v>
      </c>
      <c r="C35" s="280" t="s">
        <v>430</v>
      </c>
      <c r="D35" s="281" t="s">
        <v>427</v>
      </c>
      <c r="E35" s="282">
        <v>0</v>
      </c>
      <c r="F35" s="283">
        <f>0.15*F33</f>
        <v>0</v>
      </c>
      <c r="G35" s="12"/>
      <c r="H35" s="36"/>
      <c r="I35" s="36"/>
      <c r="J35" s="8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</row>
    <row r="36" spans="1:177" s="15" customFormat="1" ht="20.25" hidden="1" customHeight="1">
      <c r="A36" s="119">
        <v>8</v>
      </c>
      <c r="B36" s="107" t="s">
        <v>31</v>
      </c>
      <c r="C36" s="269" t="s">
        <v>431</v>
      </c>
      <c r="D36" s="270" t="s">
        <v>416</v>
      </c>
      <c r="E36" s="202" t="s">
        <v>34</v>
      </c>
      <c r="F36" s="271">
        <f>SUM(E37)</f>
        <v>0</v>
      </c>
      <c r="G36" s="12"/>
      <c r="H36" s="36"/>
      <c r="I36" s="36"/>
      <c r="J36" s="8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</row>
    <row r="37" spans="1:177" s="15" customFormat="1" ht="45.75" hidden="1" customHeight="1">
      <c r="A37" s="119"/>
      <c r="B37" s="272"/>
      <c r="C37" s="273" t="s">
        <v>432</v>
      </c>
      <c r="D37" s="274" t="s">
        <v>420</v>
      </c>
      <c r="E37" s="275">
        <v>0</v>
      </c>
      <c r="F37" s="277" t="s">
        <v>34</v>
      </c>
      <c r="G37" s="12"/>
      <c r="H37" s="36"/>
      <c r="I37" s="36"/>
      <c r="J37" s="8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</row>
    <row r="38" spans="1:177" s="15" customFormat="1" ht="39.75" hidden="1" customHeight="1">
      <c r="A38" s="278" t="s">
        <v>133</v>
      </c>
      <c r="B38" s="279" t="str">
        <f>B36</f>
        <v>01.02.04.22</v>
      </c>
      <c r="C38" s="280" t="s">
        <v>433</v>
      </c>
      <c r="D38" s="281" t="s">
        <v>427</v>
      </c>
      <c r="E38" s="282">
        <f>E37*0.05</f>
        <v>0</v>
      </c>
      <c r="F38" s="283">
        <f>E38</f>
        <v>0</v>
      </c>
      <c r="G38" s="12"/>
      <c r="H38" s="36"/>
      <c r="I38" s="36"/>
      <c r="J38" s="8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</row>
    <row r="39" spans="1:177" s="15" customFormat="1" ht="18" hidden="1" customHeight="1">
      <c r="A39" s="119">
        <v>9</v>
      </c>
      <c r="B39" s="107" t="s">
        <v>135</v>
      </c>
      <c r="C39" s="269" t="s">
        <v>434</v>
      </c>
      <c r="D39" s="270" t="s">
        <v>416</v>
      </c>
      <c r="E39" s="202" t="s">
        <v>34</v>
      </c>
      <c r="F39" s="271">
        <f>SUM(E40)</f>
        <v>0</v>
      </c>
      <c r="G39" s="12"/>
      <c r="H39" s="36"/>
      <c r="I39" s="36"/>
      <c r="J39" s="8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</row>
    <row r="40" spans="1:177" s="15" customFormat="1" ht="58.5" hidden="1" customHeight="1">
      <c r="A40" s="119"/>
      <c r="B40" s="272"/>
      <c r="C40" s="273" t="s">
        <v>435</v>
      </c>
      <c r="D40" s="274" t="s">
        <v>420</v>
      </c>
      <c r="E40" s="275">
        <v>0</v>
      </c>
      <c r="F40" s="277" t="s">
        <v>34</v>
      </c>
      <c r="G40" s="12"/>
      <c r="H40" s="36"/>
      <c r="I40" s="36"/>
      <c r="J40" s="8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</row>
    <row r="41" spans="1:177" s="15" customFormat="1" ht="38.25" hidden="1" customHeight="1">
      <c r="A41" s="278" t="s">
        <v>134</v>
      </c>
      <c r="B41" s="279" t="str">
        <f>B39</f>
        <v>01.02.04.24</v>
      </c>
      <c r="C41" s="280" t="s">
        <v>436</v>
      </c>
      <c r="D41" s="281" t="s">
        <v>427</v>
      </c>
      <c r="E41" s="282">
        <v>0</v>
      </c>
      <c r="F41" s="283">
        <f>E41</f>
        <v>0</v>
      </c>
      <c r="G41" s="12"/>
      <c r="H41" s="36"/>
      <c r="I41" s="36"/>
      <c r="J41" s="8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</row>
    <row r="42" spans="1:177" s="15" customFormat="1" ht="21" hidden="1" customHeight="1">
      <c r="A42" s="119">
        <v>10</v>
      </c>
      <c r="B42" s="107" t="s">
        <v>437</v>
      </c>
      <c r="C42" s="269" t="s">
        <v>438</v>
      </c>
      <c r="D42" s="270" t="s">
        <v>416</v>
      </c>
      <c r="E42" s="202" t="s">
        <v>34</v>
      </c>
      <c r="F42" s="271">
        <f>SUM(E43)</f>
        <v>0</v>
      </c>
      <c r="G42" s="12"/>
      <c r="H42" s="36"/>
      <c r="I42" s="36"/>
      <c r="J42" s="8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</row>
    <row r="43" spans="1:177" s="15" customFormat="1" ht="42.75" hidden="1" customHeight="1">
      <c r="A43" s="119"/>
      <c r="B43" s="272"/>
      <c r="C43" s="273" t="s">
        <v>439</v>
      </c>
      <c r="D43" s="274" t="s">
        <v>420</v>
      </c>
      <c r="E43" s="275">
        <v>0</v>
      </c>
      <c r="F43" s="277" t="s">
        <v>34</v>
      </c>
      <c r="G43" s="12"/>
      <c r="H43" s="36"/>
      <c r="I43" s="36"/>
      <c r="J43" s="8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</row>
    <row r="44" spans="1:177" s="15" customFormat="1" ht="38.25" hidden="1" customHeight="1">
      <c r="A44" s="278" t="s">
        <v>36</v>
      </c>
      <c r="B44" s="279" t="str">
        <f>B42</f>
        <v>01.02.04.23</v>
      </c>
      <c r="C44" s="280" t="s">
        <v>440</v>
      </c>
      <c r="D44" s="281" t="s">
        <v>427</v>
      </c>
      <c r="E44" s="282">
        <f>E43*0.1</f>
        <v>0</v>
      </c>
      <c r="F44" s="283">
        <f>E44</f>
        <v>0</v>
      </c>
      <c r="G44" s="12"/>
      <c r="H44" s="36"/>
      <c r="I44" s="36"/>
      <c r="J44" s="8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</row>
    <row r="45" spans="1:177" s="15" customFormat="1" ht="18" hidden="1" customHeight="1">
      <c r="A45" s="119">
        <v>11</v>
      </c>
      <c r="B45" s="107" t="s">
        <v>441</v>
      </c>
      <c r="C45" s="269" t="s">
        <v>442</v>
      </c>
      <c r="D45" s="270" t="s">
        <v>11</v>
      </c>
      <c r="E45" s="202" t="s">
        <v>34</v>
      </c>
      <c r="F45" s="271">
        <f>SUM(E46)</f>
        <v>0</v>
      </c>
      <c r="G45" s="12"/>
      <c r="H45" s="36"/>
      <c r="I45" s="36"/>
      <c r="J45" s="8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</row>
    <row r="46" spans="1:177" s="15" customFormat="1" ht="39.75" hidden="1" customHeight="1">
      <c r="A46" s="119"/>
      <c r="B46" s="272"/>
      <c r="C46" s="273" t="s">
        <v>443</v>
      </c>
      <c r="D46" s="274" t="s">
        <v>11</v>
      </c>
      <c r="E46" s="275">
        <v>0</v>
      </c>
      <c r="F46" s="277" t="s">
        <v>34</v>
      </c>
      <c r="G46" s="12"/>
      <c r="H46" s="36"/>
      <c r="I46" s="36"/>
      <c r="J46" s="8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</row>
    <row r="47" spans="1:177" s="15" customFormat="1" ht="40.5" hidden="1" customHeight="1">
      <c r="A47" s="278" t="s">
        <v>136</v>
      </c>
      <c r="B47" s="279" t="str">
        <f>B45</f>
        <v>01.02.04.41</v>
      </c>
      <c r="C47" s="280" t="s">
        <v>444</v>
      </c>
      <c r="D47" s="281" t="s">
        <v>427</v>
      </c>
      <c r="E47" s="282">
        <v>0</v>
      </c>
      <c r="F47" s="283">
        <f>E47</f>
        <v>0</v>
      </c>
      <c r="G47" s="12"/>
      <c r="H47" s="36"/>
      <c r="I47" s="36"/>
      <c r="J47" s="8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</row>
    <row r="48" spans="1:177" s="15" customFormat="1" ht="19.5" hidden="1" customHeight="1">
      <c r="A48" s="119">
        <v>12</v>
      </c>
      <c r="B48" s="107" t="s">
        <v>140</v>
      </c>
      <c r="C48" s="269" t="s">
        <v>445</v>
      </c>
      <c r="D48" s="270" t="s">
        <v>11</v>
      </c>
      <c r="E48" s="202" t="s">
        <v>34</v>
      </c>
      <c r="F48" s="271">
        <f>SUM(E49)</f>
        <v>0</v>
      </c>
      <c r="G48" s="12"/>
      <c r="H48" s="36"/>
      <c r="I48" s="36"/>
      <c r="J48" s="8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</row>
    <row r="49" spans="1:178" s="15" customFormat="1" ht="42" hidden="1" customHeight="1">
      <c r="A49" s="278"/>
      <c r="B49" s="279"/>
      <c r="C49" s="280" t="s">
        <v>446</v>
      </c>
      <c r="D49" s="281" t="s">
        <v>11</v>
      </c>
      <c r="E49" s="282">
        <v>0</v>
      </c>
      <c r="F49" s="283" t="s">
        <v>34</v>
      </c>
      <c r="G49" s="12"/>
      <c r="H49" s="36"/>
      <c r="I49" s="36"/>
      <c r="J49" s="8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</row>
    <row r="50" spans="1:178" s="15" customFormat="1" ht="40.5" hidden="1" customHeight="1">
      <c r="A50" s="278" t="s">
        <v>447</v>
      </c>
      <c r="B50" s="279" t="str">
        <f>B48</f>
        <v>01.02.04.71</v>
      </c>
      <c r="C50" s="280" t="s">
        <v>448</v>
      </c>
      <c r="D50" s="281" t="s">
        <v>427</v>
      </c>
      <c r="E50" s="282">
        <v>0</v>
      </c>
      <c r="F50" s="283">
        <f>E50</f>
        <v>0</v>
      </c>
      <c r="G50" s="12"/>
      <c r="H50" s="36"/>
      <c r="I50" s="36"/>
      <c r="J50" s="8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</row>
    <row r="51" spans="1:178" s="15" customFormat="1" ht="18.75" hidden="1" customHeight="1">
      <c r="A51" s="119">
        <v>13</v>
      </c>
      <c r="B51" s="107" t="s">
        <v>137</v>
      </c>
      <c r="C51" s="269" t="s">
        <v>449</v>
      </c>
      <c r="D51" s="270" t="s">
        <v>11</v>
      </c>
      <c r="E51" s="202" t="s">
        <v>34</v>
      </c>
      <c r="F51" s="271">
        <f>SUM(E52)</f>
        <v>0</v>
      </c>
      <c r="G51" s="12"/>
      <c r="H51" s="36"/>
      <c r="I51" s="36"/>
      <c r="J51" s="8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</row>
    <row r="52" spans="1:178" s="15" customFormat="1" ht="45.75" hidden="1" customHeight="1">
      <c r="A52" s="278"/>
      <c r="B52" s="279"/>
      <c r="C52" s="280" t="s">
        <v>450</v>
      </c>
      <c r="D52" s="281" t="s">
        <v>11</v>
      </c>
      <c r="E52" s="282">
        <v>0</v>
      </c>
      <c r="F52" s="283" t="s">
        <v>34</v>
      </c>
      <c r="G52" s="12"/>
      <c r="H52" s="36"/>
      <c r="I52" s="36"/>
      <c r="J52" s="8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</row>
    <row r="53" spans="1:178" s="15" customFormat="1" ht="40.5" hidden="1" customHeight="1">
      <c r="A53" s="278" t="s">
        <v>451</v>
      </c>
      <c r="B53" s="279" t="str">
        <f>B51</f>
        <v>01.02.04.72</v>
      </c>
      <c r="C53" s="280" t="s">
        <v>452</v>
      </c>
      <c r="D53" s="281" t="s">
        <v>427</v>
      </c>
      <c r="E53" s="282">
        <v>0</v>
      </c>
      <c r="F53" s="283">
        <f>E53</f>
        <v>0</v>
      </c>
      <c r="G53" s="12"/>
      <c r="H53" s="36"/>
      <c r="I53" s="36"/>
      <c r="J53" s="8"/>
      <c r="K53" s="61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</row>
    <row r="54" spans="1:178" s="15" customFormat="1" ht="18.75" hidden="1" customHeight="1">
      <c r="A54" s="119">
        <v>14</v>
      </c>
      <c r="B54" s="107" t="s">
        <v>32</v>
      </c>
      <c r="C54" s="269" t="s">
        <v>138</v>
      </c>
      <c r="D54" s="270" t="s">
        <v>9</v>
      </c>
      <c r="E54" s="202" t="s">
        <v>34</v>
      </c>
      <c r="F54" s="271">
        <f>SUM(E55)</f>
        <v>0</v>
      </c>
      <c r="G54" s="12"/>
      <c r="H54" s="36"/>
      <c r="I54" s="36"/>
      <c r="J54" s="8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</row>
    <row r="55" spans="1:178" s="15" customFormat="1" ht="40.5" hidden="1" customHeight="1">
      <c r="A55" s="278"/>
      <c r="B55" s="279"/>
      <c r="C55" s="280" t="s">
        <v>453</v>
      </c>
      <c r="D55" s="281" t="s">
        <v>9</v>
      </c>
      <c r="E55" s="282">
        <v>0</v>
      </c>
      <c r="F55" s="283" t="s">
        <v>34</v>
      </c>
      <c r="G55" s="12"/>
      <c r="H55" s="36"/>
      <c r="I55" s="36"/>
      <c r="J55" s="8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</row>
    <row r="56" spans="1:178" s="15" customFormat="1" ht="18" hidden="1" customHeight="1">
      <c r="A56" s="119">
        <v>15</v>
      </c>
      <c r="B56" s="107" t="s">
        <v>110</v>
      </c>
      <c r="C56" s="269" t="s">
        <v>139</v>
      </c>
      <c r="D56" s="270" t="s">
        <v>9</v>
      </c>
      <c r="E56" s="202" t="s">
        <v>34</v>
      </c>
      <c r="F56" s="271">
        <f>SUM(E57)</f>
        <v>0</v>
      </c>
      <c r="G56" s="12"/>
      <c r="H56" s="36"/>
      <c r="I56" s="36"/>
      <c r="J56" s="60"/>
      <c r="K56" s="8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</row>
    <row r="57" spans="1:178" s="15" customFormat="1" ht="32.25" hidden="1" customHeight="1">
      <c r="A57" s="278"/>
      <c r="B57" s="279"/>
      <c r="C57" s="280" t="s">
        <v>454</v>
      </c>
      <c r="D57" s="281" t="s">
        <v>9</v>
      </c>
      <c r="E57" s="282">
        <v>0</v>
      </c>
      <c r="F57" s="283" t="s">
        <v>34</v>
      </c>
      <c r="G57" s="12"/>
      <c r="H57" s="36"/>
      <c r="I57" s="36"/>
      <c r="J57" s="8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</row>
    <row r="58" spans="1:178" s="15" customFormat="1" ht="19.5" hidden="1" customHeight="1">
      <c r="A58" s="119">
        <v>16</v>
      </c>
      <c r="B58" s="107" t="s">
        <v>141</v>
      </c>
      <c r="C58" s="269" t="s">
        <v>203</v>
      </c>
      <c r="D58" s="270" t="s">
        <v>455</v>
      </c>
      <c r="E58" s="202" t="s">
        <v>34</v>
      </c>
      <c r="F58" s="271">
        <f>SUM(E59)</f>
        <v>0</v>
      </c>
      <c r="G58" s="12"/>
      <c r="H58" s="36"/>
      <c r="I58" s="36"/>
      <c r="J58" s="8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</row>
    <row r="59" spans="1:178" s="15" customFormat="1" ht="45" hidden="1" customHeight="1">
      <c r="A59" s="278"/>
      <c r="B59" s="279"/>
      <c r="C59" s="280" t="s">
        <v>456</v>
      </c>
      <c r="D59" s="281" t="s">
        <v>427</v>
      </c>
      <c r="E59" s="282">
        <v>0</v>
      </c>
      <c r="F59" s="283" t="s">
        <v>34</v>
      </c>
      <c r="G59" s="12"/>
      <c r="H59" s="36"/>
      <c r="I59" s="36"/>
      <c r="J59" s="8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</row>
    <row r="60" spans="1:178" s="15" customFormat="1" ht="27" customHeight="1">
      <c r="A60" s="24" t="s">
        <v>58</v>
      </c>
      <c r="B60" s="21" t="s">
        <v>111</v>
      </c>
      <c r="C60" s="737" t="s">
        <v>189</v>
      </c>
      <c r="D60" s="737"/>
      <c r="E60" s="737"/>
      <c r="F60" s="1031"/>
      <c r="G60" s="12"/>
      <c r="H60" s="36"/>
      <c r="I60" s="36"/>
      <c r="J60" s="8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</row>
    <row r="61" spans="1:178" s="15" customFormat="1" ht="20.25" customHeight="1">
      <c r="A61" s="63" t="s">
        <v>34</v>
      </c>
      <c r="B61" s="64" t="s">
        <v>142</v>
      </c>
      <c r="C61" s="736" t="s">
        <v>147</v>
      </c>
      <c r="D61" s="736"/>
      <c r="E61" s="736"/>
      <c r="F61" s="1032"/>
      <c r="G61" s="12"/>
      <c r="H61" s="36"/>
      <c r="I61" s="36"/>
      <c r="J61" s="8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</row>
    <row r="62" spans="1:178" s="15" customFormat="1" ht="27" customHeight="1">
      <c r="A62" s="65">
        <v>6</v>
      </c>
      <c r="B62" s="66" t="s">
        <v>143</v>
      </c>
      <c r="C62" s="85" t="s">
        <v>144</v>
      </c>
      <c r="D62" s="74" t="s">
        <v>179</v>
      </c>
      <c r="E62" s="78" t="s">
        <v>34</v>
      </c>
      <c r="F62" s="323">
        <f>E63</f>
        <v>0</v>
      </c>
      <c r="G62" s="12"/>
      <c r="H62" s="36"/>
      <c r="I62" s="36"/>
      <c r="J62" s="8"/>
      <c r="K62" s="57"/>
      <c r="L62" s="285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</row>
    <row r="63" spans="1:178" s="15" customFormat="1" ht="46.5" customHeight="1">
      <c r="A63" s="65"/>
      <c r="B63" s="75"/>
      <c r="C63" s="80" t="s">
        <v>457</v>
      </c>
      <c r="D63" s="81" t="s">
        <v>178</v>
      </c>
      <c r="E63" s="82">
        <v>0</v>
      </c>
      <c r="F63" s="323" t="s">
        <v>34</v>
      </c>
      <c r="G63" s="12"/>
      <c r="H63" s="36"/>
      <c r="I63" s="36"/>
      <c r="J63" s="8"/>
      <c r="K63" s="8"/>
      <c r="L63" s="8"/>
      <c r="M63" s="8"/>
      <c r="N63" s="8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</row>
    <row r="64" spans="1:178" s="15" customFormat="1" ht="20.25" customHeight="1">
      <c r="A64" s="65">
        <v>7</v>
      </c>
      <c r="B64" s="66" t="s">
        <v>145</v>
      </c>
      <c r="C64" s="85" t="s">
        <v>146</v>
      </c>
      <c r="D64" s="74" t="s">
        <v>179</v>
      </c>
      <c r="E64" s="78" t="s">
        <v>34</v>
      </c>
      <c r="F64" s="323">
        <f>E65</f>
        <v>0</v>
      </c>
      <c r="G64" s="12"/>
      <c r="H64" s="36"/>
      <c r="I64" s="36"/>
      <c r="J64" s="8"/>
      <c r="K64" s="57"/>
      <c r="L64" s="285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</row>
    <row r="65" spans="1:141" s="15" customFormat="1" ht="74.25" customHeight="1">
      <c r="A65" s="65"/>
      <c r="B65" s="75"/>
      <c r="C65" s="80" t="s">
        <v>458</v>
      </c>
      <c r="D65" s="81" t="s">
        <v>178</v>
      </c>
      <c r="E65" s="82">
        <v>0</v>
      </c>
      <c r="F65" s="323" t="s">
        <v>34</v>
      </c>
      <c r="G65" s="12"/>
      <c r="H65" s="36"/>
      <c r="I65" s="36"/>
      <c r="J65" s="8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</row>
    <row r="66" spans="1:141" s="14" customFormat="1" ht="18" customHeight="1">
      <c r="A66" s="63" t="s">
        <v>34</v>
      </c>
      <c r="B66" s="64" t="s">
        <v>70</v>
      </c>
      <c r="C66" s="736" t="s">
        <v>71</v>
      </c>
      <c r="D66" s="736"/>
      <c r="E66" s="736"/>
      <c r="F66" s="1032"/>
      <c r="G66" s="1"/>
      <c r="H66" s="35">
        <v>350</v>
      </c>
      <c r="I66" s="35" t="e">
        <f>H66*#REF!</f>
        <v>#REF!</v>
      </c>
      <c r="J66" s="8"/>
    </row>
    <row r="67" spans="1:141" s="14" customFormat="1" ht="19.5" customHeight="1">
      <c r="A67" s="94">
        <v>8</v>
      </c>
      <c r="B67" s="66" t="s">
        <v>148</v>
      </c>
      <c r="C67" s="108" t="s">
        <v>149</v>
      </c>
      <c r="D67" s="86" t="s">
        <v>179</v>
      </c>
      <c r="E67" s="87" t="s">
        <v>34</v>
      </c>
      <c r="F67" s="99">
        <f>E68</f>
        <v>0</v>
      </c>
      <c r="G67" s="1"/>
      <c r="H67" s="35"/>
      <c r="I67" s="35"/>
      <c r="J67" s="8"/>
      <c r="L67" s="286"/>
    </row>
    <row r="68" spans="1:141" s="14" customFormat="1" ht="29.25" customHeight="1">
      <c r="A68" s="94"/>
      <c r="B68" s="75"/>
      <c r="C68" s="109" t="s">
        <v>459</v>
      </c>
      <c r="D68" s="81" t="s">
        <v>178</v>
      </c>
      <c r="E68" s="82">
        <f>E63</f>
        <v>0</v>
      </c>
      <c r="F68" s="123" t="s">
        <v>34</v>
      </c>
      <c r="G68" s="1"/>
      <c r="H68" s="35"/>
      <c r="I68" s="35"/>
      <c r="J68" s="8"/>
    </row>
    <row r="69" spans="1:141" s="14" customFormat="1" ht="27.75" customHeight="1">
      <c r="A69" s="94">
        <v>9</v>
      </c>
      <c r="B69" s="66" t="s">
        <v>148</v>
      </c>
      <c r="C69" s="108" t="s">
        <v>460</v>
      </c>
      <c r="D69" s="86" t="s">
        <v>179</v>
      </c>
      <c r="E69" s="87" t="s">
        <v>34</v>
      </c>
      <c r="F69" s="99">
        <f>E70</f>
        <v>0</v>
      </c>
      <c r="G69" s="1"/>
      <c r="H69" s="35"/>
      <c r="I69" s="35"/>
      <c r="J69" s="8"/>
      <c r="L69" s="286"/>
    </row>
    <row r="70" spans="1:141" s="14" customFormat="1" ht="42" customHeight="1">
      <c r="A70" s="94"/>
      <c r="B70" s="75"/>
      <c r="C70" s="109" t="s">
        <v>461</v>
      </c>
      <c r="D70" s="81" t="s">
        <v>178</v>
      </c>
      <c r="E70" s="82">
        <f>E65</f>
        <v>0</v>
      </c>
      <c r="F70" s="123" t="s">
        <v>34</v>
      </c>
      <c r="G70" s="1"/>
      <c r="H70" s="35"/>
      <c r="I70" s="35"/>
      <c r="J70" s="8"/>
    </row>
    <row r="71" spans="1:141" s="3" customFormat="1" ht="32.25" customHeight="1">
      <c r="A71" s="24" t="s">
        <v>48</v>
      </c>
      <c r="B71" s="21" t="s">
        <v>112</v>
      </c>
      <c r="C71" s="737" t="s">
        <v>180</v>
      </c>
      <c r="D71" s="737"/>
      <c r="E71" s="737"/>
      <c r="F71" s="1031"/>
      <c r="H71" s="35"/>
      <c r="I71" s="35"/>
      <c r="J71" s="1"/>
    </row>
    <row r="72" spans="1:141" s="3" customFormat="1" ht="18" hidden="1" customHeight="1">
      <c r="A72" s="268" t="s">
        <v>34</v>
      </c>
      <c r="B72" s="276" t="s">
        <v>150</v>
      </c>
      <c r="C72" s="741" t="s">
        <v>151</v>
      </c>
      <c r="D72" s="741"/>
      <c r="E72" s="741"/>
      <c r="F72" s="1040"/>
      <c r="H72" s="55"/>
      <c r="I72" s="56"/>
      <c r="J72" s="1"/>
    </row>
    <row r="73" spans="1:141" s="3" customFormat="1" ht="19.5" hidden="1" customHeight="1">
      <c r="A73" s="287">
        <v>18</v>
      </c>
      <c r="B73" s="266" t="s">
        <v>152</v>
      </c>
      <c r="C73" s="288" t="s">
        <v>153</v>
      </c>
      <c r="D73" s="289" t="s">
        <v>11</v>
      </c>
      <c r="E73" s="158" t="s">
        <v>34</v>
      </c>
      <c r="F73" s="126">
        <f>E74</f>
        <v>2</v>
      </c>
      <c r="H73" s="55"/>
      <c r="I73" s="56"/>
      <c r="J73" s="1"/>
    </row>
    <row r="74" spans="1:141" s="3" customFormat="1" ht="69" hidden="1" customHeight="1">
      <c r="A74" s="287"/>
      <c r="B74" s="107"/>
      <c r="C74" s="290" t="s">
        <v>329</v>
      </c>
      <c r="D74" s="274" t="s">
        <v>11</v>
      </c>
      <c r="E74" s="275">
        <f>2</f>
        <v>2</v>
      </c>
      <c r="F74" s="277" t="s">
        <v>34</v>
      </c>
      <c r="H74" s="55"/>
      <c r="I74" s="56"/>
      <c r="J74" s="1"/>
    </row>
    <row r="75" spans="1:141" s="3" customFormat="1" ht="18" hidden="1" customHeight="1">
      <c r="A75" s="291" t="s">
        <v>228</v>
      </c>
      <c r="B75" s="292" t="str">
        <f>B73</f>
        <v>03.01.01.11</v>
      </c>
      <c r="C75" s="293" t="s">
        <v>154</v>
      </c>
      <c r="D75" s="294" t="s">
        <v>34</v>
      </c>
      <c r="E75" s="295" t="s">
        <v>34</v>
      </c>
      <c r="F75" s="296" t="s">
        <v>34</v>
      </c>
      <c r="H75" s="55"/>
      <c r="I75" s="56"/>
      <c r="J75" s="1"/>
    </row>
    <row r="76" spans="1:141" s="3" customFormat="1" ht="17.25" hidden="1" customHeight="1">
      <c r="A76" s="297"/>
      <c r="B76" s="298"/>
      <c r="C76" s="299" t="s">
        <v>205</v>
      </c>
      <c r="D76" s="300" t="s">
        <v>462</v>
      </c>
      <c r="E76" s="301">
        <f>0.66*2</f>
        <v>1.32</v>
      </c>
      <c r="F76" s="302">
        <f>E76</f>
        <v>1.32</v>
      </c>
      <c r="H76" s="55"/>
      <c r="I76" s="56"/>
      <c r="J76" s="1"/>
    </row>
    <row r="77" spans="1:141" s="3" customFormat="1" ht="27" hidden="1" customHeight="1">
      <c r="A77" s="303"/>
      <c r="B77" s="298"/>
      <c r="C77" s="304" t="s">
        <v>204</v>
      </c>
      <c r="D77" s="300" t="s">
        <v>462</v>
      </c>
      <c r="E77" s="301">
        <f>2*0.13</f>
        <v>0.26</v>
      </c>
      <c r="F77" s="302">
        <f>E77</f>
        <v>0.26</v>
      </c>
      <c r="H77" s="55"/>
      <c r="I77" s="56"/>
      <c r="J77" s="1"/>
    </row>
    <row r="78" spans="1:141" s="3" customFormat="1" ht="20.25" hidden="1" customHeight="1">
      <c r="A78" s="305"/>
      <c r="B78" s="306"/>
      <c r="C78" s="307" t="s">
        <v>206</v>
      </c>
      <c r="D78" s="308" t="s">
        <v>462</v>
      </c>
      <c r="E78" s="309">
        <f>0.66</f>
        <v>0.66</v>
      </c>
      <c r="F78" s="310">
        <f>E78</f>
        <v>0.66</v>
      </c>
      <c r="H78" s="55"/>
      <c r="I78" s="56"/>
      <c r="J78" s="1"/>
    </row>
    <row r="79" spans="1:141" s="3" customFormat="1" ht="19.5" hidden="1" customHeight="1">
      <c r="A79" s="268" t="s">
        <v>34</v>
      </c>
      <c r="B79" s="276" t="s">
        <v>155</v>
      </c>
      <c r="C79" s="741" t="s">
        <v>156</v>
      </c>
      <c r="D79" s="741"/>
      <c r="E79" s="741"/>
      <c r="F79" s="1040"/>
      <c r="H79" s="55"/>
      <c r="I79" s="56"/>
      <c r="J79" s="1"/>
    </row>
    <row r="80" spans="1:141" s="3" customFormat="1" ht="18" hidden="1" customHeight="1">
      <c r="A80" s="287">
        <v>21</v>
      </c>
      <c r="B80" s="266" t="s">
        <v>157</v>
      </c>
      <c r="C80" s="288" t="s">
        <v>463</v>
      </c>
      <c r="D80" s="289" t="s">
        <v>11</v>
      </c>
      <c r="E80" s="158" t="s">
        <v>34</v>
      </c>
      <c r="F80" s="126">
        <f>E81</f>
        <v>0</v>
      </c>
      <c r="H80" s="55"/>
      <c r="I80" s="56"/>
      <c r="J80" s="1"/>
    </row>
    <row r="81" spans="1:12" s="3" customFormat="1" ht="30" hidden="1" customHeight="1">
      <c r="A81" s="287"/>
      <c r="B81" s="107"/>
      <c r="C81" s="290" t="s">
        <v>464</v>
      </c>
      <c r="D81" s="274" t="s">
        <v>11</v>
      </c>
      <c r="E81" s="275">
        <v>0</v>
      </c>
      <c r="F81" s="277" t="s">
        <v>34</v>
      </c>
      <c r="H81" s="55"/>
      <c r="I81" s="56"/>
      <c r="J81" s="1"/>
    </row>
    <row r="82" spans="1:12" s="3" customFormat="1" ht="18" customHeight="1">
      <c r="A82" s="63" t="s">
        <v>34</v>
      </c>
      <c r="B82" s="64" t="s">
        <v>94</v>
      </c>
      <c r="C82" s="736" t="s">
        <v>95</v>
      </c>
      <c r="D82" s="736"/>
      <c r="E82" s="736"/>
      <c r="F82" s="1032"/>
      <c r="H82" s="55"/>
      <c r="I82" s="56"/>
    </row>
    <row r="83" spans="1:12" s="3" customFormat="1" ht="38.25" customHeight="1">
      <c r="A83" s="94">
        <v>10</v>
      </c>
      <c r="B83" s="66" t="s">
        <v>466</v>
      </c>
      <c r="C83" s="108" t="s">
        <v>519</v>
      </c>
      <c r="D83" s="86" t="s">
        <v>11</v>
      </c>
      <c r="E83" s="87" t="s">
        <v>34</v>
      </c>
      <c r="F83" s="99">
        <f>E84</f>
        <v>51</v>
      </c>
      <c r="H83" s="55"/>
      <c r="I83" s="56"/>
    </row>
    <row r="84" spans="1:12" s="3" customFormat="1" ht="43.5" customHeight="1">
      <c r="A84" s="94"/>
      <c r="B84" s="75"/>
      <c r="C84" s="109" t="s">
        <v>520</v>
      </c>
      <c r="D84" s="81" t="s">
        <v>11</v>
      </c>
      <c r="E84" s="82">
        <f>30+21</f>
        <v>51</v>
      </c>
      <c r="F84" s="123" t="s">
        <v>34</v>
      </c>
      <c r="H84" s="55"/>
      <c r="I84" s="56"/>
    </row>
    <row r="85" spans="1:12" s="3" customFormat="1" ht="17.25" customHeight="1">
      <c r="A85" s="325" t="s">
        <v>36</v>
      </c>
      <c r="B85" s="326" t="str">
        <f>B83</f>
        <v>03.02.01.28</v>
      </c>
      <c r="C85" s="327" t="s">
        <v>158</v>
      </c>
      <c r="D85" s="328" t="s">
        <v>34</v>
      </c>
      <c r="E85" s="329" t="s">
        <v>34</v>
      </c>
      <c r="F85" s="330" t="s">
        <v>34</v>
      </c>
      <c r="H85" s="55"/>
      <c r="I85" s="56"/>
    </row>
    <row r="86" spans="1:12" s="3" customFormat="1" ht="26.25" customHeight="1">
      <c r="A86" s="335"/>
      <c r="B86" s="337"/>
      <c r="C86" s="336" t="s">
        <v>208</v>
      </c>
      <c r="D86" s="332" t="s">
        <v>227</v>
      </c>
      <c r="E86" s="333">
        <f>0.18*1</f>
        <v>0.18</v>
      </c>
      <c r="F86" s="334">
        <f>E86</f>
        <v>0.18</v>
      </c>
      <c r="H86" s="55"/>
      <c r="I86" s="56"/>
      <c r="L86" s="311" t="s">
        <v>525</v>
      </c>
    </row>
    <row r="87" spans="1:12" s="3" customFormat="1" ht="30" customHeight="1">
      <c r="A87" s="335"/>
      <c r="B87" s="337"/>
      <c r="C87" s="331" t="s">
        <v>161</v>
      </c>
      <c r="D87" s="332" t="s">
        <v>227</v>
      </c>
      <c r="E87" s="333">
        <f>1*(1.5*0.85-3.14*0.325*0.325)</f>
        <v>0.94</v>
      </c>
      <c r="F87" s="334">
        <f>E87</f>
        <v>0.94</v>
      </c>
      <c r="H87" s="55"/>
      <c r="I87" s="56"/>
      <c r="L87" s="311"/>
    </row>
    <row r="88" spans="1:12" s="3" customFormat="1" ht="18" customHeight="1">
      <c r="A88" s="338"/>
      <c r="B88" s="339"/>
      <c r="C88" s="340" t="s">
        <v>512</v>
      </c>
      <c r="D88" s="341" t="s">
        <v>11</v>
      </c>
      <c r="E88" s="342">
        <v>1</v>
      </c>
      <c r="F88" s="343">
        <v>1</v>
      </c>
      <c r="H88" s="55"/>
      <c r="I88" s="56"/>
      <c r="L88" s="311"/>
    </row>
    <row r="89" spans="1:12" s="3" customFormat="1" ht="38.25" customHeight="1">
      <c r="A89" s="94">
        <v>11</v>
      </c>
      <c r="B89" s="66" t="s">
        <v>522</v>
      </c>
      <c r="C89" s="108" t="s">
        <v>521</v>
      </c>
      <c r="D89" s="86" t="s">
        <v>11</v>
      </c>
      <c r="E89" s="87" t="s">
        <v>34</v>
      </c>
      <c r="F89" s="99">
        <f>E90</f>
        <v>234.5</v>
      </c>
      <c r="H89" s="55"/>
      <c r="I89" s="56"/>
      <c r="L89" s="311"/>
    </row>
    <row r="90" spans="1:12" s="3" customFormat="1" ht="51.75" customHeight="1">
      <c r="A90" s="94"/>
      <c r="B90" s="75"/>
      <c r="C90" s="109" t="s">
        <v>526</v>
      </c>
      <c r="D90" s="81" t="s">
        <v>11</v>
      </c>
      <c r="E90" s="82">
        <f>48.5+48.5+48.5+23+33+33</f>
        <v>234.5</v>
      </c>
      <c r="F90" s="123" t="s">
        <v>34</v>
      </c>
      <c r="H90" s="55"/>
      <c r="I90" s="56"/>
      <c r="L90" s="311"/>
    </row>
    <row r="91" spans="1:12" s="3" customFormat="1" ht="18" customHeight="1">
      <c r="A91" s="325" t="s">
        <v>136</v>
      </c>
      <c r="B91" s="326" t="str">
        <f>B89</f>
        <v>03.02.01.29</v>
      </c>
      <c r="C91" s="327" t="s">
        <v>158</v>
      </c>
      <c r="D91" s="328" t="s">
        <v>34</v>
      </c>
      <c r="E91" s="329" t="s">
        <v>34</v>
      </c>
      <c r="F91" s="330" t="s">
        <v>34</v>
      </c>
      <c r="H91" s="55"/>
      <c r="I91" s="56"/>
      <c r="L91" s="311" t="s">
        <v>524</v>
      </c>
    </row>
    <row r="92" spans="1:12" s="3" customFormat="1" ht="28.5" customHeight="1">
      <c r="A92" s="335"/>
      <c r="B92" s="337"/>
      <c r="C92" s="336" t="s">
        <v>527</v>
      </c>
      <c r="D92" s="332" t="s">
        <v>227</v>
      </c>
      <c r="E92" s="333">
        <f>0.18*1</f>
        <v>0.18</v>
      </c>
      <c r="F92" s="334">
        <f>E92</f>
        <v>0.18</v>
      </c>
      <c r="H92" s="55"/>
      <c r="I92" s="56"/>
      <c r="L92" s="311"/>
    </row>
    <row r="93" spans="1:12" s="3" customFormat="1" ht="27" customHeight="1">
      <c r="A93" s="335"/>
      <c r="B93" s="337"/>
      <c r="C93" s="331" t="s">
        <v>528</v>
      </c>
      <c r="D93" s="332" t="s">
        <v>227</v>
      </c>
      <c r="E93" s="333">
        <f>1*(1.5*0.85-3.14*0.325*0.325)</f>
        <v>0.94</v>
      </c>
      <c r="F93" s="334">
        <f>E93</f>
        <v>0.94</v>
      </c>
      <c r="H93" s="55"/>
      <c r="I93" s="56"/>
      <c r="L93" s="311"/>
    </row>
    <row r="94" spans="1:12" s="3" customFormat="1" ht="17.25" customHeight="1">
      <c r="A94" s="338"/>
      <c r="B94" s="339"/>
      <c r="C94" s="340" t="s">
        <v>523</v>
      </c>
      <c r="D94" s="341" t="s">
        <v>11</v>
      </c>
      <c r="E94" s="342">
        <v>1</v>
      </c>
      <c r="F94" s="343">
        <v>1</v>
      </c>
      <c r="H94" s="55"/>
      <c r="I94" s="56"/>
      <c r="L94" s="311"/>
    </row>
    <row r="95" spans="1:12" s="3" customFormat="1" ht="18" customHeight="1">
      <c r="A95" s="94">
        <v>12</v>
      </c>
      <c r="B95" s="66" t="s">
        <v>113</v>
      </c>
      <c r="C95" s="108" t="s">
        <v>159</v>
      </c>
      <c r="D95" s="86" t="s">
        <v>11</v>
      </c>
      <c r="E95" s="87" t="s">
        <v>34</v>
      </c>
      <c r="F95" s="99">
        <f>E96</f>
        <v>6</v>
      </c>
      <c r="H95" s="55"/>
      <c r="I95" s="56"/>
    </row>
    <row r="96" spans="1:12" s="3" customFormat="1" ht="58.5" customHeight="1">
      <c r="A96" s="94"/>
      <c r="B96" s="75"/>
      <c r="C96" s="109" t="s">
        <v>529</v>
      </c>
      <c r="D96" s="81" t="s">
        <v>11</v>
      </c>
      <c r="E96" s="82">
        <f>3+3</f>
        <v>6</v>
      </c>
      <c r="F96" s="123" t="s">
        <v>34</v>
      </c>
      <c r="H96" s="55"/>
      <c r="I96" s="56"/>
    </row>
    <row r="97" spans="1:14" s="3" customFormat="1" ht="27.75" customHeight="1">
      <c r="A97" s="94">
        <v>13</v>
      </c>
      <c r="B97" s="66" t="s">
        <v>469</v>
      </c>
      <c r="C97" s="108" t="s">
        <v>513</v>
      </c>
      <c r="D97" s="86" t="s">
        <v>12</v>
      </c>
      <c r="E97" s="87" t="s">
        <v>34</v>
      </c>
      <c r="F97" s="99">
        <f>E98</f>
        <v>2</v>
      </c>
      <c r="H97" s="55"/>
      <c r="I97" s="56"/>
    </row>
    <row r="98" spans="1:14" s="3" customFormat="1" ht="54.75" customHeight="1">
      <c r="A98" s="94"/>
      <c r="B98" s="75"/>
      <c r="C98" s="109" t="s">
        <v>530</v>
      </c>
      <c r="D98" s="81" t="s">
        <v>12</v>
      </c>
      <c r="E98" s="82">
        <f>2</f>
        <v>2</v>
      </c>
      <c r="F98" s="123" t="s">
        <v>34</v>
      </c>
      <c r="H98" s="55"/>
      <c r="I98" s="56"/>
    </row>
    <row r="99" spans="1:14" s="3" customFormat="1" ht="27.75" customHeight="1">
      <c r="A99" s="94">
        <v>14</v>
      </c>
      <c r="B99" s="66" t="s">
        <v>469</v>
      </c>
      <c r="C99" s="108" t="s">
        <v>531</v>
      </c>
      <c r="D99" s="86" t="s">
        <v>12</v>
      </c>
      <c r="E99" s="87" t="s">
        <v>34</v>
      </c>
      <c r="F99" s="99">
        <f>E100</f>
        <v>5</v>
      </c>
      <c r="H99" s="55"/>
      <c r="I99" s="56"/>
    </row>
    <row r="100" spans="1:14" s="3" customFormat="1" ht="63.75" customHeight="1">
      <c r="A100" s="94"/>
      <c r="B100" s="75"/>
      <c r="C100" s="109" t="s">
        <v>532</v>
      </c>
      <c r="D100" s="81" t="s">
        <v>12</v>
      </c>
      <c r="E100" s="82">
        <f>5</f>
        <v>5</v>
      </c>
      <c r="F100" s="123" t="s">
        <v>34</v>
      </c>
      <c r="H100" s="55"/>
      <c r="I100" s="56"/>
    </row>
    <row r="101" spans="1:14" s="3" customFormat="1" ht="29.25" customHeight="1">
      <c r="A101" s="94">
        <v>15</v>
      </c>
      <c r="B101" s="66" t="s">
        <v>471</v>
      </c>
      <c r="C101" s="108" t="s">
        <v>514</v>
      </c>
      <c r="D101" s="86" t="s">
        <v>12</v>
      </c>
      <c r="E101" s="87" t="s">
        <v>34</v>
      </c>
      <c r="F101" s="99">
        <f>E102</f>
        <v>1</v>
      </c>
      <c r="H101" s="55"/>
      <c r="I101" s="56"/>
    </row>
    <row r="102" spans="1:14" s="3" customFormat="1" ht="57" customHeight="1">
      <c r="A102" s="94"/>
      <c r="B102" s="75"/>
      <c r="C102" s="109" t="s">
        <v>533</v>
      </c>
      <c r="D102" s="81" t="s">
        <v>12</v>
      </c>
      <c r="E102" s="82">
        <v>1</v>
      </c>
      <c r="F102" s="123" t="s">
        <v>34</v>
      </c>
      <c r="H102" s="55"/>
      <c r="I102" s="56"/>
    </row>
    <row r="103" spans="1:14" s="3" customFormat="1" ht="18" customHeight="1">
      <c r="A103" s="94">
        <v>16</v>
      </c>
      <c r="B103" s="66" t="s">
        <v>160</v>
      </c>
      <c r="C103" s="108" t="s">
        <v>229</v>
      </c>
      <c r="D103" s="86" t="s">
        <v>12</v>
      </c>
      <c r="E103" s="87" t="s">
        <v>34</v>
      </c>
      <c r="F103" s="99">
        <f>E104</f>
        <v>2</v>
      </c>
      <c r="H103" s="55"/>
      <c r="I103" s="56"/>
    </row>
    <row r="104" spans="1:14" s="3" customFormat="1" ht="70.5" customHeight="1">
      <c r="A104" s="94"/>
      <c r="B104" s="75"/>
      <c r="C104" s="109" t="s">
        <v>534</v>
      </c>
      <c r="D104" s="81" t="s">
        <v>12</v>
      </c>
      <c r="E104" s="82">
        <v>2</v>
      </c>
      <c r="F104" s="123" t="s">
        <v>34</v>
      </c>
      <c r="H104" s="55"/>
      <c r="I104" s="56"/>
    </row>
    <row r="105" spans="1:14" s="3" customFormat="1" ht="18.75" customHeight="1">
      <c r="A105" s="94">
        <v>17</v>
      </c>
      <c r="B105" s="66" t="s">
        <v>555</v>
      </c>
      <c r="C105" s="108" t="s">
        <v>554</v>
      </c>
      <c r="D105" s="86" t="s">
        <v>12</v>
      </c>
      <c r="E105" s="87" t="s">
        <v>34</v>
      </c>
      <c r="F105" s="99">
        <f>E106</f>
        <v>1</v>
      </c>
      <c r="H105" s="55"/>
      <c r="I105" s="56"/>
    </row>
    <row r="106" spans="1:14" s="3" customFormat="1" ht="55.5" customHeight="1">
      <c r="A106" s="94"/>
      <c r="B106" s="75"/>
      <c r="C106" s="109" t="s">
        <v>556</v>
      </c>
      <c r="D106" s="81" t="s">
        <v>12</v>
      </c>
      <c r="E106" s="82">
        <v>1</v>
      </c>
      <c r="F106" s="123" t="s">
        <v>34</v>
      </c>
      <c r="H106" s="55"/>
      <c r="I106" s="56"/>
    </row>
    <row r="107" spans="1:14" s="3" customFormat="1" ht="27" customHeight="1">
      <c r="A107" s="24" t="s">
        <v>49</v>
      </c>
      <c r="B107" s="21" t="s">
        <v>57</v>
      </c>
      <c r="C107" s="737" t="s">
        <v>181</v>
      </c>
      <c r="D107" s="737"/>
      <c r="E107" s="737"/>
      <c r="F107" s="1031"/>
      <c r="H107" s="55"/>
      <c r="I107" s="56"/>
    </row>
    <row r="108" spans="1:14" s="1" customFormat="1" ht="18" customHeight="1">
      <c r="A108" s="63" t="s">
        <v>34</v>
      </c>
      <c r="B108" s="64" t="s">
        <v>98</v>
      </c>
      <c r="C108" s="736" t="s">
        <v>99</v>
      </c>
      <c r="D108" s="736"/>
      <c r="E108" s="736"/>
      <c r="F108" s="1032"/>
      <c r="H108" s="1026"/>
      <c r="I108" s="1027"/>
      <c r="J108" s="3"/>
      <c r="N108" s="3"/>
    </row>
    <row r="109" spans="1:14" s="1" customFormat="1" ht="27.75" customHeight="1">
      <c r="A109" s="96">
        <v>18</v>
      </c>
      <c r="B109" s="89" t="s">
        <v>209</v>
      </c>
      <c r="C109" s="111" t="s">
        <v>210</v>
      </c>
      <c r="D109" s="86" t="s">
        <v>176</v>
      </c>
      <c r="E109" s="87" t="s">
        <v>34</v>
      </c>
      <c r="F109" s="99">
        <f>E110</f>
        <v>126</v>
      </c>
      <c r="H109" s="263"/>
      <c r="I109" s="264"/>
      <c r="J109" s="3"/>
    </row>
    <row r="110" spans="1:14" s="1" customFormat="1" ht="72.75" customHeight="1">
      <c r="A110" s="96"/>
      <c r="B110" s="89"/>
      <c r="C110" s="110" t="s">
        <v>535</v>
      </c>
      <c r="D110" s="88" t="s">
        <v>177</v>
      </c>
      <c r="E110" s="84">
        <f>126</f>
        <v>126</v>
      </c>
      <c r="F110" s="124" t="s">
        <v>34</v>
      </c>
      <c r="H110" s="263"/>
      <c r="I110" s="264"/>
      <c r="J110" s="140"/>
      <c r="L110" s="312" t="s">
        <v>474</v>
      </c>
      <c r="M110" s="312"/>
    </row>
    <row r="111" spans="1:14" s="1" customFormat="1" ht="18.75" customHeight="1">
      <c r="A111" s="63" t="s">
        <v>34</v>
      </c>
      <c r="B111" s="64" t="s">
        <v>114</v>
      </c>
      <c r="C111" s="736" t="s">
        <v>115</v>
      </c>
      <c r="D111" s="736"/>
      <c r="E111" s="736"/>
      <c r="F111" s="1032"/>
      <c r="H111" s="263"/>
      <c r="I111" s="264"/>
      <c r="J111" s="3"/>
    </row>
    <row r="112" spans="1:14" s="1" customFormat="1" ht="21" customHeight="1">
      <c r="A112" s="96">
        <v>19</v>
      </c>
      <c r="B112" s="89" t="s">
        <v>162</v>
      </c>
      <c r="C112" s="111" t="s">
        <v>475</v>
      </c>
      <c r="D112" s="86" t="s">
        <v>176</v>
      </c>
      <c r="E112" s="87" t="s">
        <v>34</v>
      </c>
      <c r="F112" s="99">
        <f>E113</f>
        <v>146.54</v>
      </c>
      <c r="H112" s="263"/>
      <c r="I112" s="264"/>
      <c r="J112" s="3"/>
    </row>
    <row r="113" spans="1:16" s="1" customFormat="1" ht="95.25" customHeight="1">
      <c r="A113" s="96"/>
      <c r="B113" s="89"/>
      <c r="C113" s="110" t="s">
        <v>536</v>
      </c>
      <c r="D113" s="88" t="s">
        <v>177</v>
      </c>
      <c r="E113" s="84">
        <f>26.4+5+88.5+26.64</f>
        <v>146.54</v>
      </c>
      <c r="F113" s="124" t="s">
        <v>34</v>
      </c>
      <c r="H113" s="263"/>
      <c r="I113" s="264"/>
      <c r="K113" s="312" t="s">
        <v>476</v>
      </c>
      <c r="M113" s="1">
        <f>20*1.32</f>
        <v>26.4</v>
      </c>
    </row>
    <row r="114" spans="1:16" s="1" customFormat="1" ht="19.5" customHeight="1">
      <c r="A114" s="63" t="s">
        <v>34</v>
      </c>
      <c r="B114" s="64" t="s">
        <v>17</v>
      </c>
      <c r="C114" s="736" t="s">
        <v>18</v>
      </c>
      <c r="D114" s="736"/>
      <c r="E114" s="736"/>
      <c r="F114" s="1032"/>
      <c r="H114" s="263"/>
      <c r="I114" s="264"/>
      <c r="N114" s="1">
        <f>98.2*1.1</f>
        <v>108.02</v>
      </c>
    </row>
    <row r="115" spans="1:16" s="1" customFormat="1" ht="19.5" customHeight="1">
      <c r="A115" s="96">
        <v>20</v>
      </c>
      <c r="B115" s="90" t="s">
        <v>478</v>
      </c>
      <c r="C115" s="111" t="s">
        <v>477</v>
      </c>
      <c r="D115" s="86" t="s">
        <v>176</v>
      </c>
      <c r="E115" s="87" t="s">
        <v>34</v>
      </c>
      <c r="F115" s="99">
        <f>E116</f>
        <v>33.44</v>
      </c>
      <c r="H115" s="263"/>
      <c r="I115" s="264"/>
    </row>
    <row r="116" spans="1:16" s="1" customFormat="1" ht="89.25" customHeight="1">
      <c r="A116" s="95"/>
      <c r="B116" s="91"/>
      <c r="C116" s="110" t="s">
        <v>537</v>
      </c>
      <c r="D116" s="88" t="s">
        <v>177</v>
      </c>
      <c r="E116" s="84">
        <f>20+13.44</f>
        <v>33.44</v>
      </c>
      <c r="F116" s="124" t="s">
        <v>34</v>
      </c>
      <c r="H116" s="263"/>
      <c r="I116" s="264"/>
      <c r="K116" s="312" t="s">
        <v>476</v>
      </c>
      <c r="M116" s="1">
        <f>20</f>
        <v>20</v>
      </c>
      <c r="O116" s="1">
        <v>13.44</v>
      </c>
      <c r="P116" s="1">
        <v>85.51</v>
      </c>
    </row>
    <row r="117" spans="1:16" s="8" customFormat="1" ht="18.75" customHeight="1">
      <c r="A117" s="96">
        <v>21</v>
      </c>
      <c r="B117" s="90" t="s">
        <v>163</v>
      </c>
      <c r="C117" s="111" t="s">
        <v>480</v>
      </c>
      <c r="D117" s="86" t="s">
        <v>176</v>
      </c>
      <c r="E117" s="87" t="s">
        <v>34</v>
      </c>
      <c r="F117" s="99">
        <f>E118</f>
        <v>20</v>
      </c>
      <c r="G117" s="7"/>
      <c r="H117" s="738"/>
      <c r="I117" s="738"/>
      <c r="J117" s="1"/>
      <c r="K117" s="1"/>
      <c r="N117" s="1">
        <f>98.2</f>
        <v>98.2</v>
      </c>
    </row>
    <row r="118" spans="1:16" s="11" customFormat="1" ht="43.5" customHeight="1">
      <c r="A118" s="95"/>
      <c r="B118" s="91"/>
      <c r="C118" s="110" t="s">
        <v>538</v>
      </c>
      <c r="D118" s="88" t="s">
        <v>177</v>
      </c>
      <c r="E118" s="84">
        <f>20</f>
        <v>20</v>
      </c>
      <c r="F118" s="124" t="s">
        <v>34</v>
      </c>
      <c r="H118" s="35">
        <v>1.26</v>
      </c>
      <c r="I118" s="35">
        <f>H118*F117</f>
        <v>25.2</v>
      </c>
      <c r="J118" s="1"/>
      <c r="K118" s="312" t="s">
        <v>476</v>
      </c>
      <c r="N118" s="8"/>
    </row>
    <row r="119" spans="1:16" s="11" customFormat="1" ht="18.75" customHeight="1">
      <c r="A119" s="96">
        <v>22</v>
      </c>
      <c r="B119" s="89" t="s">
        <v>164</v>
      </c>
      <c r="C119" s="111" t="s">
        <v>165</v>
      </c>
      <c r="D119" s="86" t="s">
        <v>176</v>
      </c>
      <c r="E119" s="87" t="s">
        <v>34</v>
      </c>
      <c r="F119" s="99">
        <f>E120</f>
        <v>33.44</v>
      </c>
      <c r="H119" s="35"/>
      <c r="I119" s="35"/>
      <c r="J119" s="1"/>
      <c r="K119" s="8"/>
    </row>
    <row r="120" spans="1:16" s="11" customFormat="1" ht="94.5" customHeight="1">
      <c r="A120" s="96"/>
      <c r="B120" s="91"/>
      <c r="C120" s="147" t="s">
        <v>539</v>
      </c>
      <c r="D120" s="88" t="s">
        <v>177</v>
      </c>
      <c r="E120" s="84">
        <f>20+13.44</f>
        <v>33.44</v>
      </c>
      <c r="F120" s="99" t="s">
        <v>34</v>
      </c>
      <c r="H120" s="35"/>
      <c r="I120" s="35"/>
      <c r="J120" s="1"/>
      <c r="K120" s="312" t="s">
        <v>476</v>
      </c>
    </row>
    <row r="121" spans="1:16" s="8" customFormat="1" ht="17.25" customHeight="1">
      <c r="A121" s="96">
        <v>23</v>
      </c>
      <c r="B121" s="89" t="s">
        <v>73</v>
      </c>
      <c r="C121" s="111" t="s">
        <v>72</v>
      </c>
      <c r="D121" s="86" t="s">
        <v>176</v>
      </c>
      <c r="E121" s="87" t="s">
        <v>34</v>
      </c>
      <c r="F121" s="99">
        <f>E122</f>
        <v>20</v>
      </c>
      <c r="H121" s="36"/>
      <c r="I121" s="36"/>
      <c r="J121" s="1"/>
      <c r="K121" s="11"/>
      <c r="N121" s="11"/>
    </row>
    <row r="122" spans="1:16" s="8" customFormat="1" ht="42" customHeight="1">
      <c r="A122" s="96"/>
      <c r="B122" s="91"/>
      <c r="C122" s="110" t="s">
        <v>540</v>
      </c>
      <c r="D122" s="88" t="s">
        <v>177</v>
      </c>
      <c r="E122" s="84">
        <f>E118</f>
        <v>20</v>
      </c>
      <c r="F122" s="99" t="s">
        <v>34</v>
      </c>
      <c r="H122" s="36"/>
      <c r="I122" s="36"/>
      <c r="J122" s="1"/>
      <c r="K122" s="312" t="s">
        <v>476</v>
      </c>
    </row>
    <row r="123" spans="1:16" s="8" customFormat="1" ht="18" customHeight="1">
      <c r="A123" s="63" t="s">
        <v>34</v>
      </c>
      <c r="B123" s="64" t="s">
        <v>19</v>
      </c>
      <c r="C123" s="736" t="s">
        <v>20</v>
      </c>
      <c r="D123" s="736"/>
      <c r="E123" s="736"/>
      <c r="F123" s="1032"/>
      <c r="H123" s="36"/>
      <c r="I123" s="36"/>
      <c r="J123" s="1"/>
    </row>
    <row r="124" spans="1:16" s="8" customFormat="1" ht="30" customHeight="1">
      <c r="A124" s="96">
        <v>24</v>
      </c>
      <c r="B124" s="90" t="s">
        <v>489</v>
      </c>
      <c r="C124" s="114" t="s">
        <v>490</v>
      </c>
      <c r="D124" s="86" t="s">
        <v>176</v>
      </c>
      <c r="E124" s="87" t="s">
        <v>34</v>
      </c>
      <c r="F124" s="99">
        <f>SUM(E125:E125)</f>
        <v>94</v>
      </c>
      <c r="H124" s="36"/>
      <c r="I124" s="36"/>
      <c r="J124" s="1"/>
    </row>
    <row r="125" spans="1:16" s="8" customFormat="1" ht="44.25" customHeight="1">
      <c r="A125" s="96"/>
      <c r="B125" s="91"/>
      <c r="C125" s="110" t="s">
        <v>541</v>
      </c>
      <c r="D125" s="88" t="s">
        <v>177</v>
      </c>
      <c r="E125" s="84">
        <f>89+5</f>
        <v>94</v>
      </c>
      <c r="F125" s="99" t="s">
        <v>34</v>
      </c>
      <c r="H125" s="36"/>
      <c r="I125" s="36"/>
      <c r="J125" s="1"/>
      <c r="K125" s="312" t="s">
        <v>476</v>
      </c>
    </row>
    <row r="126" spans="1:16" s="8" customFormat="1" ht="29.25" customHeight="1">
      <c r="A126" s="96">
        <v>25</v>
      </c>
      <c r="B126" s="90" t="s">
        <v>484</v>
      </c>
      <c r="C126" s="114" t="s">
        <v>485</v>
      </c>
      <c r="D126" s="86" t="s">
        <v>176</v>
      </c>
      <c r="E126" s="87" t="s">
        <v>34</v>
      </c>
      <c r="F126" s="99">
        <f>SUM(E127:E127)</f>
        <v>20</v>
      </c>
      <c r="G126" s="7"/>
      <c r="H126" s="738"/>
      <c r="I126" s="738"/>
    </row>
    <row r="127" spans="1:16" s="8" customFormat="1" ht="47.25" customHeight="1">
      <c r="A127" s="96"/>
      <c r="B127" s="91"/>
      <c r="C127" s="110" t="s">
        <v>542</v>
      </c>
      <c r="D127" s="88" t="s">
        <v>177</v>
      </c>
      <c r="E127" s="84">
        <v>20</v>
      </c>
      <c r="F127" s="99" t="s">
        <v>34</v>
      </c>
      <c r="G127" s="7"/>
      <c r="H127" s="262"/>
      <c r="I127" s="262"/>
      <c r="K127" s="312" t="s">
        <v>476</v>
      </c>
    </row>
    <row r="128" spans="1:16" s="8" customFormat="1" ht="21" customHeight="1">
      <c r="A128" s="63" t="s">
        <v>34</v>
      </c>
      <c r="B128" s="64" t="s">
        <v>166</v>
      </c>
      <c r="C128" s="736" t="s">
        <v>487</v>
      </c>
      <c r="D128" s="736"/>
      <c r="E128" s="736"/>
      <c r="F128" s="1032"/>
      <c r="G128" s="7"/>
      <c r="H128" s="262"/>
      <c r="I128" s="262"/>
      <c r="K128" s="312"/>
    </row>
    <row r="129" spans="1:103" s="8" customFormat="1" ht="30.75" customHeight="1">
      <c r="A129" s="96">
        <v>26</v>
      </c>
      <c r="B129" s="90" t="s">
        <v>211</v>
      </c>
      <c r="C129" s="114" t="s">
        <v>488</v>
      </c>
      <c r="D129" s="86" t="s">
        <v>176</v>
      </c>
      <c r="E129" s="87" t="s">
        <v>34</v>
      </c>
      <c r="F129" s="99">
        <f>SUM(E130:E130)</f>
        <v>10.8</v>
      </c>
      <c r="G129" s="7"/>
      <c r="H129" s="262"/>
      <c r="I129" s="262"/>
      <c r="K129" s="312"/>
    </row>
    <row r="130" spans="1:103" s="8" customFormat="1" ht="42" customHeight="1">
      <c r="A130" s="96"/>
      <c r="B130" s="91"/>
      <c r="C130" s="110" t="s">
        <v>543</v>
      </c>
      <c r="D130" s="88" t="s">
        <v>177</v>
      </c>
      <c r="E130" s="84">
        <f>10.8</f>
        <v>10.8</v>
      </c>
      <c r="F130" s="99" t="s">
        <v>34</v>
      </c>
      <c r="G130" s="7"/>
      <c r="H130" s="262"/>
      <c r="I130" s="262"/>
      <c r="K130" s="312"/>
    </row>
    <row r="131" spans="1:103" s="8" customFormat="1" ht="29.25" customHeight="1">
      <c r="A131" s="96">
        <v>27</v>
      </c>
      <c r="B131" s="90" t="s">
        <v>491</v>
      </c>
      <c r="C131" s="114" t="s">
        <v>492</v>
      </c>
      <c r="D131" s="86" t="s">
        <v>176</v>
      </c>
      <c r="E131" s="87" t="s">
        <v>34</v>
      </c>
      <c r="F131" s="99">
        <f>SUM(E132:E132)</f>
        <v>39.840000000000003</v>
      </c>
      <c r="H131" s="35"/>
      <c r="I131" s="35"/>
    </row>
    <row r="132" spans="1:103" s="8" customFormat="1" ht="80.25" customHeight="1">
      <c r="A132" s="96"/>
      <c r="B132" s="91"/>
      <c r="C132" s="110" t="s">
        <v>544</v>
      </c>
      <c r="D132" s="88" t="s">
        <v>177</v>
      </c>
      <c r="E132" s="84">
        <f>13.44+26.4</f>
        <v>39.840000000000003</v>
      </c>
      <c r="F132" s="99" t="s">
        <v>34</v>
      </c>
      <c r="H132" s="35"/>
      <c r="I132" s="35"/>
      <c r="K132" s="312" t="s">
        <v>476</v>
      </c>
      <c r="M132" s="8">
        <f>20*1.32</f>
        <v>26.4</v>
      </c>
    </row>
    <row r="133" spans="1:103" s="101" customFormat="1" ht="27.75" customHeight="1">
      <c r="A133" s="24" t="s">
        <v>61</v>
      </c>
      <c r="B133" s="21" t="s">
        <v>59</v>
      </c>
      <c r="C133" s="737" t="s">
        <v>182</v>
      </c>
      <c r="D133" s="737"/>
      <c r="E133" s="737"/>
      <c r="F133" s="1031"/>
      <c r="H133" s="313"/>
      <c r="I133" s="313"/>
      <c r="N133" s="8"/>
    </row>
    <row r="134" spans="1:103" s="8" customFormat="1" ht="18" hidden="1" customHeight="1">
      <c r="A134" s="63" t="s">
        <v>34</v>
      </c>
      <c r="B134" s="64" t="s">
        <v>116</v>
      </c>
      <c r="C134" s="736" t="s">
        <v>128</v>
      </c>
      <c r="D134" s="736" t="s">
        <v>8</v>
      </c>
      <c r="E134" s="736"/>
      <c r="F134" s="1032"/>
      <c r="H134" s="44"/>
      <c r="I134" s="45"/>
      <c r="N134" s="101"/>
    </row>
    <row r="135" spans="1:103" s="8" customFormat="1" ht="20.25" hidden="1" customHeight="1">
      <c r="A135" s="96">
        <v>36</v>
      </c>
      <c r="B135" s="89" t="s">
        <v>213</v>
      </c>
      <c r="C135" s="111" t="s">
        <v>212</v>
      </c>
      <c r="D135" s="86" t="s">
        <v>176</v>
      </c>
      <c r="E135" s="87" t="s">
        <v>34</v>
      </c>
      <c r="F135" s="93">
        <f>SUM(E136:E136)</f>
        <v>42.07</v>
      </c>
      <c r="H135" s="44"/>
      <c r="I135" s="45"/>
    </row>
    <row r="136" spans="1:103" s="8" customFormat="1" ht="81" hidden="1" customHeight="1">
      <c r="A136" s="95"/>
      <c r="B136" s="91"/>
      <c r="C136" s="110" t="s">
        <v>330</v>
      </c>
      <c r="D136" s="88" t="s">
        <v>177</v>
      </c>
      <c r="E136" s="84">
        <v>42.07</v>
      </c>
      <c r="F136" s="124" t="s">
        <v>34</v>
      </c>
      <c r="H136" s="44"/>
      <c r="I136" s="45"/>
    </row>
    <row r="137" spans="1:103" s="16" customFormat="1" ht="18.75" customHeight="1">
      <c r="A137" s="63" t="s">
        <v>34</v>
      </c>
      <c r="B137" s="64" t="s">
        <v>21</v>
      </c>
      <c r="C137" s="736" t="s">
        <v>22</v>
      </c>
      <c r="D137" s="736" t="s">
        <v>8</v>
      </c>
      <c r="E137" s="736"/>
      <c r="F137" s="1032"/>
      <c r="G137" s="14"/>
      <c r="H137" s="1026"/>
      <c r="I137" s="1027"/>
      <c r="J137" s="8"/>
      <c r="K137" s="8"/>
      <c r="L137" s="58"/>
      <c r="M137" s="58"/>
      <c r="N137" s="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</row>
    <row r="138" spans="1:103" s="16" customFormat="1" ht="20.25" customHeight="1">
      <c r="A138" s="96">
        <v>28</v>
      </c>
      <c r="B138" s="90" t="s">
        <v>220</v>
      </c>
      <c r="C138" s="111" t="s">
        <v>494</v>
      </c>
      <c r="D138" s="86" t="s">
        <v>176</v>
      </c>
      <c r="E138" s="87" t="s">
        <v>34</v>
      </c>
      <c r="F138" s="93">
        <f>SUM(E139:E139)</f>
        <v>52.5</v>
      </c>
      <c r="G138" s="14"/>
      <c r="H138" s="263"/>
      <c r="I138" s="264"/>
      <c r="J138" s="8"/>
      <c r="K138" s="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</row>
    <row r="139" spans="1:103" s="16" customFormat="1" ht="51" customHeight="1">
      <c r="A139" s="95"/>
      <c r="B139" s="91"/>
      <c r="C139" s="110" t="s">
        <v>545</v>
      </c>
      <c r="D139" s="88" t="s">
        <v>177</v>
      </c>
      <c r="E139" s="84">
        <f>257.5-205</f>
        <v>52.5</v>
      </c>
      <c r="F139" s="124" t="s">
        <v>34</v>
      </c>
      <c r="G139" s="14"/>
      <c r="H139" s="263"/>
      <c r="I139" s="264"/>
      <c r="J139" s="8"/>
      <c r="K139" s="312" t="s">
        <v>496</v>
      </c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</row>
    <row r="140" spans="1:103" s="204" customFormat="1" ht="18" hidden="1" customHeight="1">
      <c r="A140" s="96">
        <v>37</v>
      </c>
      <c r="B140" s="90" t="s">
        <v>220</v>
      </c>
      <c r="C140" s="111" t="s">
        <v>214</v>
      </c>
      <c r="D140" s="86" t="s">
        <v>176</v>
      </c>
      <c r="E140" s="87" t="s">
        <v>34</v>
      </c>
      <c r="F140" s="93">
        <f>SUM(E141:E141)</f>
        <v>0</v>
      </c>
      <c r="G140" s="40"/>
      <c r="H140" s="738"/>
      <c r="I140" s="738"/>
      <c r="J140" s="8"/>
      <c r="K140" s="58"/>
      <c r="L140" s="59"/>
      <c r="M140" s="59"/>
      <c r="N140" s="58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</row>
    <row r="141" spans="1:103" s="204" customFormat="1" ht="67.5" hidden="1" customHeight="1">
      <c r="A141" s="95"/>
      <c r="B141" s="91"/>
      <c r="C141" s="110" t="s">
        <v>351</v>
      </c>
      <c r="D141" s="88" t="s">
        <v>177</v>
      </c>
      <c r="E141" s="84">
        <v>0</v>
      </c>
      <c r="F141" s="124" t="s">
        <v>34</v>
      </c>
      <c r="G141" s="40"/>
      <c r="H141" s="35">
        <v>24.73</v>
      </c>
      <c r="I141" s="35">
        <f>H141*F140</f>
        <v>0</v>
      </c>
      <c r="J141" s="8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</row>
    <row r="142" spans="1:103" s="204" customFormat="1" ht="19.5" customHeight="1">
      <c r="A142" s="96">
        <v>29</v>
      </c>
      <c r="B142" s="89" t="s">
        <v>221</v>
      </c>
      <c r="C142" s="111" t="s">
        <v>215</v>
      </c>
      <c r="D142" s="86" t="s">
        <v>176</v>
      </c>
      <c r="E142" s="87" t="s">
        <v>34</v>
      </c>
      <c r="F142" s="93">
        <f>SUM(E143:E143)</f>
        <v>52.5</v>
      </c>
      <c r="G142" s="40"/>
      <c r="H142" s="35"/>
      <c r="I142" s="35"/>
      <c r="J142" s="8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</row>
    <row r="143" spans="1:103" s="204" customFormat="1" ht="44.25" customHeight="1">
      <c r="A143" s="95"/>
      <c r="B143" s="91"/>
      <c r="C143" s="110" t="s">
        <v>546</v>
      </c>
      <c r="D143" s="88" t="s">
        <v>177</v>
      </c>
      <c r="E143" s="84">
        <v>52.5</v>
      </c>
      <c r="F143" s="124" t="s">
        <v>34</v>
      </c>
      <c r="G143" s="40"/>
      <c r="H143" s="35"/>
      <c r="I143" s="35"/>
      <c r="J143" s="8"/>
      <c r="K143" s="312" t="s">
        <v>496</v>
      </c>
      <c r="L143" s="58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</row>
    <row r="144" spans="1:103" s="16" customFormat="1" ht="22.5" customHeight="1">
      <c r="A144" s="96">
        <v>30</v>
      </c>
      <c r="B144" s="89" t="s">
        <v>221</v>
      </c>
      <c r="C144" s="111" t="s">
        <v>216</v>
      </c>
      <c r="D144" s="86" t="s">
        <v>176</v>
      </c>
      <c r="E144" s="87" t="s">
        <v>34</v>
      </c>
      <c r="F144" s="93">
        <f>SUM(E145:E145)</f>
        <v>12</v>
      </c>
      <c r="G144" s="14"/>
      <c r="H144" s="37"/>
      <c r="I144" s="37"/>
      <c r="J144" s="8"/>
      <c r="K144" s="59"/>
      <c r="L144" s="58"/>
      <c r="M144" s="58"/>
      <c r="N144" s="59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</row>
    <row r="145" spans="1:103" s="16" customFormat="1" ht="45" customHeight="1">
      <c r="A145" s="95"/>
      <c r="B145" s="91"/>
      <c r="C145" s="110" t="s">
        <v>547</v>
      </c>
      <c r="D145" s="88" t="s">
        <v>177</v>
      </c>
      <c r="E145" s="84">
        <v>12</v>
      </c>
      <c r="F145" s="124" t="s">
        <v>34</v>
      </c>
      <c r="G145" s="14"/>
      <c r="H145" s="37"/>
      <c r="I145" s="37"/>
      <c r="J145" s="8"/>
      <c r="K145" s="312" t="s">
        <v>476</v>
      </c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</row>
    <row r="146" spans="1:103" s="16" customFormat="1" ht="17.25" customHeight="1">
      <c r="A146" s="63" t="s">
        <v>34</v>
      </c>
      <c r="B146" s="64" t="s">
        <v>331</v>
      </c>
      <c r="C146" s="736" t="s">
        <v>332</v>
      </c>
      <c r="D146" s="736" t="s">
        <v>8</v>
      </c>
      <c r="E146" s="736"/>
      <c r="F146" s="1032"/>
      <c r="G146" s="14"/>
      <c r="H146" s="37"/>
      <c r="I146" s="37"/>
      <c r="J146" s="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</row>
    <row r="147" spans="1:103" s="16" customFormat="1" ht="22.5" customHeight="1">
      <c r="A147" s="96">
        <v>31</v>
      </c>
      <c r="B147" s="89" t="s">
        <v>333</v>
      </c>
      <c r="C147" s="111" t="s">
        <v>334</v>
      </c>
      <c r="D147" s="86" t="s">
        <v>176</v>
      </c>
      <c r="E147" s="87" t="s">
        <v>34</v>
      </c>
      <c r="F147" s="99">
        <f>E148</f>
        <v>26.25</v>
      </c>
      <c r="G147" s="14"/>
      <c r="H147" s="37"/>
      <c r="I147" s="37"/>
      <c r="J147" s="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</row>
    <row r="148" spans="1:103" s="16" customFormat="1" ht="46.5" customHeight="1">
      <c r="A148" s="95"/>
      <c r="B148" s="91"/>
      <c r="C148" s="110" t="s">
        <v>548</v>
      </c>
      <c r="D148" s="88" t="s">
        <v>177</v>
      </c>
      <c r="E148" s="84">
        <f>(257.5-205)*0.5</f>
        <v>26.25</v>
      </c>
      <c r="F148" s="124" t="s">
        <v>34</v>
      </c>
      <c r="G148" s="14"/>
      <c r="H148" s="37"/>
      <c r="I148" s="37"/>
      <c r="J148" s="8"/>
      <c r="K148" s="312" t="s">
        <v>476</v>
      </c>
      <c r="L148" s="58"/>
      <c r="M148" s="58">
        <f>(452-257)*0.5</f>
        <v>97.5</v>
      </c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</row>
    <row r="149" spans="1:103" s="16" customFormat="1" ht="45.75" customHeight="1">
      <c r="A149" s="95" t="s">
        <v>552</v>
      </c>
      <c r="B149" s="91" t="str">
        <f>B147</f>
        <v>05.03.11.35</v>
      </c>
      <c r="C149" s="110" t="s">
        <v>549</v>
      </c>
      <c r="D149" s="88" t="s">
        <v>11</v>
      </c>
      <c r="E149" s="84">
        <f>(257.5-205)</f>
        <v>52.5</v>
      </c>
      <c r="F149" s="124">
        <f>E149</f>
        <v>52.5</v>
      </c>
      <c r="G149" s="14"/>
      <c r="H149" s="37"/>
      <c r="I149" s="37"/>
      <c r="J149" s="8"/>
      <c r="K149" s="312" t="s">
        <v>476</v>
      </c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</row>
    <row r="150" spans="1:103" s="16" customFormat="1" ht="39.75" customHeight="1">
      <c r="A150" s="95" t="s">
        <v>557</v>
      </c>
      <c r="B150" s="91" t="str">
        <f>B149</f>
        <v>05.03.11.35</v>
      </c>
      <c r="C150" s="110" t="s">
        <v>550</v>
      </c>
      <c r="D150" s="88" t="s">
        <v>178</v>
      </c>
      <c r="E150" s="84">
        <f>E148*0.07</f>
        <v>1.84</v>
      </c>
      <c r="F150" s="124">
        <f>E150</f>
        <v>1.84</v>
      </c>
      <c r="G150" s="14"/>
      <c r="H150" s="37"/>
      <c r="I150" s="37"/>
      <c r="J150" s="8"/>
      <c r="K150" s="312" t="s">
        <v>476</v>
      </c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</row>
    <row r="151" spans="1:103" s="317" customFormat="1" ht="19.5" customHeight="1">
      <c r="A151" s="63" t="s">
        <v>34</v>
      </c>
      <c r="B151" s="64" t="s">
        <v>335</v>
      </c>
      <c r="C151" s="736" t="s">
        <v>336</v>
      </c>
      <c r="D151" s="736" t="s">
        <v>8</v>
      </c>
      <c r="E151" s="736"/>
      <c r="F151" s="1032"/>
      <c r="G151" s="314"/>
      <c r="H151" s="315"/>
      <c r="I151" s="315"/>
      <c r="J151" s="101"/>
      <c r="K151" s="316"/>
      <c r="L151" s="316"/>
      <c r="M151" s="316"/>
      <c r="N151" s="58"/>
      <c r="O151" s="316"/>
      <c r="P151" s="316"/>
      <c r="Q151" s="316"/>
      <c r="R151" s="316"/>
      <c r="S151" s="316"/>
      <c r="T151" s="316"/>
      <c r="U151" s="316"/>
      <c r="V151" s="316"/>
      <c r="W151" s="316"/>
      <c r="X151" s="316"/>
      <c r="Y151" s="316"/>
      <c r="Z151" s="316"/>
      <c r="AA151" s="316"/>
      <c r="AB151" s="316"/>
      <c r="AC151" s="316"/>
      <c r="AD151" s="316"/>
      <c r="AE151" s="316"/>
      <c r="AF151" s="316"/>
      <c r="AG151" s="316"/>
      <c r="AH151" s="316"/>
      <c r="AI151" s="316"/>
      <c r="AJ151" s="316"/>
      <c r="AK151" s="316"/>
      <c r="AL151" s="316"/>
      <c r="AM151" s="316"/>
      <c r="AN151" s="316"/>
      <c r="AO151" s="316"/>
      <c r="AP151" s="316"/>
      <c r="AQ151" s="316"/>
      <c r="AR151" s="316"/>
      <c r="AS151" s="316"/>
      <c r="AT151" s="316"/>
      <c r="AU151" s="316"/>
      <c r="AV151" s="316"/>
      <c r="AW151" s="316"/>
      <c r="AX151" s="316"/>
      <c r="AY151" s="316"/>
      <c r="AZ151" s="316"/>
      <c r="BA151" s="316"/>
      <c r="BB151" s="316"/>
      <c r="BC151" s="316"/>
      <c r="BD151" s="316"/>
      <c r="BE151" s="316"/>
      <c r="BF151" s="316"/>
      <c r="BG151" s="316"/>
      <c r="BH151" s="316"/>
      <c r="BI151" s="316"/>
      <c r="BJ151" s="316"/>
      <c r="BK151" s="316"/>
      <c r="BL151" s="316"/>
      <c r="BM151" s="316"/>
      <c r="BN151" s="316"/>
      <c r="BO151" s="316"/>
      <c r="BP151" s="316"/>
      <c r="BQ151" s="316"/>
      <c r="BR151" s="316"/>
      <c r="BS151" s="316"/>
      <c r="BT151" s="316"/>
      <c r="BU151" s="316"/>
      <c r="BV151" s="316"/>
      <c r="BW151" s="316"/>
      <c r="BX151" s="316"/>
      <c r="BY151" s="316"/>
      <c r="BZ151" s="316"/>
      <c r="CA151" s="316"/>
      <c r="CB151" s="316"/>
      <c r="CC151" s="316"/>
      <c r="CD151" s="316"/>
      <c r="CE151" s="316"/>
      <c r="CF151" s="316"/>
      <c r="CG151" s="316"/>
      <c r="CH151" s="316"/>
      <c r="CI151" s="316"/>
      <c r="CJ151" s="316"/>
      <c r="CK151" s="316"/>
      <c r="CL151" s="316"/>
      <c r="CM151" s="316"/>
      <c r="CN151" s="316"/>
      <c r="CO151" s="316"/>
      <c r="CP151" s="316"/>
      <c r="CQ151" s="316"/>
      <c r="CR151" s="316"/>
      <c r="CS151" s="316"/>
      <c r="CT151" s="316"/>
      <c r="CU151" s="316"/>
      <c r="CV151" s="316"/>
      <c r="CW151" s="316"/>
      <c r="CX151" s="316"/>
      <c r="CY151" s="316"/>
    </row>
    <row r="152" spans="1:103" s="317" customFormat="1" ht="27" customHeight="1">
      <c r="A152" s="96">
        <v>32</v>
      </c>
      <c r="B152" s="89" t="s">
        <v>337</v>
      </c>
      <c r="C152" s="111" t="s">
        <v>338</v>
      </c>
      <c r="D152" s="86" t="s">
        <v>176</v>
      </c>
      <c r="E152" s="87" t="s">
        <v>34</v>
      </c>
      <c r="F152" s="99">
        <f>E153</f>
        <v>52.5</v>
      </c>
      <c r="G152" s="314"/>
      <c r="H152" s="315"/>
      <c r="I152" s="315"/>
      <c r="J152" s="101"/>
      <c r="K152" s="316"/>
      <c r="L152" s="316"/>
      <c r="M152" s="316"/>
      <c r="N152" s="316"/>
      <c r="O152" s="316"/>
      <c r="P152" s="316"/>
      <c r="Q152" s="316"/>
      <c r="R152" s="316"/>
      <c r="S152" s="316"/>
      <c r="T152" s="316"/>
      <c r="U152" s="316"/>
      <c r="V152" s="316"/>
      <c r="W152" s="316"/>
      <c r="X152" s="316"/>
      <c r="Y152" s="316"/>
      <c r="Z152" s="316"/>
      <c r="AA152" s="316"/>
      <c r="AB152" s="316"/>
      <c r="AC152" s="316"/>
      <c r="AD152" s="316"/>
      <c r="AE152" s="316"/>
      <c r="AF152" s="316"/>
      <c r="AG152" s="316"/>
      <c r="AH152" s="316"/>
      <c r="AI152" s="316"/>
      <c r="AJ152" s="316"/>
      <c r="AK152" s="316"/>
      <c r="AL152" s="316"/>
      <c r="AM152" s="316"/>
      <c r="AN152" s="316"/>
      <c r="AO152" s="316"/>
      <c r="AP152" s="316"/>
      <c r="AQ152" s="316"/>
      <c r="AR152" s="316"/>
      <c r="AS152" s="316"/>
      <c r="AT152" s="316"/>
      <c r="AU152" s="316"/>
      <c r="AV152" s="316"/>
      <c r="AW152" s="316"/>
      <c r="AX152" s="316"/>
      <c r="AY152" s="316"/>
      <c r="AZ152" s="316"/>
      <c r="BA152" s="316"/>
      <c r="BB152" s="316"/>
      <c r="BC152" s="316"/>
      <c r="BD152" s="316"/>
      <c r="BE152" s="316"/>
      <c r="BF152" s="316"/>
      <c r="BG152" s="316"/>
      <c r="BH152" s="316"/>
      <c r="BI152" s="316"/>
      <c r="BJ152" s="316"/>
      <c r="BK152" s="316"/>
      <c r="BL152" s="316"/>
      <c r="BM152" s="316"/>
      <c r="BN152" s="316"/>
      <c r="BO152" s="316"/>
      <c r="BP152" s="316"/>
      <c r="BQ152" s="316"/>
      <c r="BR152" s="316"/>
      <c r="BS152" s="316"/>
      <c r="BT152" s="316"/>
      <c r="BU152" s="316"/>
      <c r="BV152" s="316"/>
      <c r="BW152" s="316"/>
      <c r="BX152" s="316"/>
      <c r="BY152" s="316"/>
      <c r="BZ152" s="316"/>
      <c r="CA152" s="316"/>
      <c r="CB152" s="316"/>
      <c r="CC152" s="316"/>
      <c r="CD152" s="316"/>
      <c r="CE152" s="316"/>
      <c r="CF152" s="316"/>
      <c r="CG152" s="316"/>
      <c r="CH152" s="316"/>
      <c r="CI152" s="316"/>
      <c r="CJ152" s="316"/>
      <c r="CK152" s="316"/>
      <c r="CL152" s="316"/>
      <c r="CM152" s="316"/>
      <c r="CN152" s="316"/>
      <c r="CO152" s="316"/>
      <c r="CP152" s="316"/>
      <c r="CQ152" s="316"/>
      <c r="CR152" s="316"/>
      <c r="CS152" s="316"/>
      <c r="CT152" s="316"/>
      <c r="CU152" s="316"/>
      <c r="CV152" s="316"/>
      <c r="CW152" s="316"/>
      <c r="CX152" s="316"/>
      <c r="CY152" s="316"/>
    </row>
    <row r="153" spans="1:103" s="317" customFormat="1" ht="42.75" customHeight="1">
      <c r="A153" s="95"/>
      <c r="B153" s="91"/>
      <c r="C153" s="110" t="s">
        <v>551</v>
      </c>
      <c r="D153" s="88" t="s">
        <v>177</v>
      </c>
      <c r="E153" s="84">
        <f>257.5-205</f>
        <v>52.5</v>
      </c>
      <c r="F153" s="124" t="s">
        <v>34</v>
      </c>
      <c r="G153" s="314"/>
      <c r="H153" s="315"/>
      <c r="I153" s="315"/>
      <c r="J153" s="101"/>
      <c r="K153" s="312" t="s">
        <v>476</v>
      </c>
      <c r="L153" s="316"/>
      <c r="M153" s="316"/>
      <c r="N153" s="316"/>
      <c r="O153" s="316"/>
      <c r="P153" s="316"/>
      <c r="Q153" s="316"/>
      <c r="R153" s="316"/>
      <c r="S153" s="316"/>
      <c r="T153" s="316"/>
      <c r="U153" s="316"/>
      <c r="V153" s="316"/>
      <c r="W153" s="316"/>
      <c r="X153" s="316"/>
      <c r="Y153" s="316"/>
      <c r="Z153" s="316"/>
      <c r="AA153" s="316"/>
      <c r="AB153" s="316"/>
      <c r="AC153" s="316"/>
      <c r="AD153" s="316"/>
      <c r="AE153" s="316"/>
      <c r="AF153" s="316"/>
      <c r="AG153" s="316"/>
      <c r="AH153" s="316"/>
      <c r="AI153" s="316"/>
      <c r="AJ153" s="316"/>
      <c r="AK153" s="316"/>
      <c r="AL153" s="316"/>
      <c r="AM153" s="316"/>
      <c r="AN153" s="316"/>
      <c r="AO153" s="316"/>
      <c r="AP153" s="316"/>
      <c r="AQ153" s="316"/>
      <c r="AR153" s="316"/>
      <c r="AS153" s="316"/>
      <c r="AT153" s="316"/>
      <c r="AU153" s="316"/>
      <c r="AV153" s="316"/>
      <c r="AW153" s="316"/>
      <c r="AX153" s="316"/>
      <c r="AY153" s="316"/>
      <c r="AZ153" s="316"/>
      <c r="BA153" s="316"/>
      <c r="BB153" s="316"/>
      <c r="BC153" s="316"/>
      <c r="BD153" s="316"/>
      <c r="BE153" s="316"/>
      <c r="BF153" s="316"/>
      <c r="BG153" s="316"/>
      <c r="BH153" s="316"/>
      <c r="BI153" s="316"/>
      <c r="BJ153" s="316"/>
      <c r="BK153" s="316"/>
      <c r="BL153" s="316"/>
      <c r="BM153" s="316"/>
      <c r="BN153" s="316"/>
      <c r="BO153" s="316"/>
      <c r="BP153" s="316"/>
      <c r="BQ153" s="316"/>
      <c r="BR153" s="316"/>
      <c r="BS153" s="316"/>
      <c r="BT153" s="316"/>
      <c r="BU153" s="316"/>
      <c r="BV153" s="316"/>
      <c r="BW153" s="316"/>
      <c r="BX153" s="316"/>
      <c r="BY153" s="316"/>
      <c r="BZ153" s="316"/>
      <c r="CA153" s="316"/>
      <c r="CB153" s="316"/>
      <c r="CC153" s="316"/>
      <c r="CD153" s="316"/>
      <c r="CE153" s="316"/>
      <c r="CF153" s="316"/>
      <c r="CG153" s="316"/>
      <c r="CH153" s="316"/>
      <c r="CI153" s="316"/>
      <c r="CJ153" s="316"/>
      <c r="CK153" s="316"/>
      <c r="CL153" s="316"/>
      <c r="CM153" s="316"/>
      <c r="CN153" s="316"/>
      <c r="CO153" s="316"/>
      <c r="CP153" s="316"/>
      <c r="CQ153" s="316"/>
      <c r="CR153" s="316"/>
      <c r="CS153" s="316"/>
      <c r="CT153" s="316"/>
      <c r="CU153" s="316"/>
      <c r="CV153" s="316"/>
      <c r="CW153" s="316"/>
      <c r="CX153" s="316"/>
      <c r="CY153" s="316"/>
    </row>
    <row r="154" spans="1:103" s="41" customFormat="1" ht="25.5">
      <c r="A154" s="24" t="s">
        <v>63</v>
      </c>
      <c r="B154" s="21" t="s">
        <v>60</v>
      </c>
      <c r="C154" s="737" t="s">
        <v>183</v>
      </c>
      <c r="D154" s="737" t="s">
        <v>8</v>
      </c>
      <c r="E154" s="737"/>
      <c r="F154" s="1031"/>
      <c r="G154" s="40"/>
      <c r="H154" s="37"/>
      <c r="I154" s="37"/>
      <c r="J154" s="14"/>
      <c r="K154" s="58"/>
      <c r="L154" s="59"/>
      <c r="M154" s="59"/>
      <c r="N154" s="316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</row>
    <row r="155" spans="1:103" s="101" customFormat="1" ht="19.5" customHeight="1">
      <c r="A155" s="63" t="s">
        <v>34</v>
      </c>
      <c r="B155" s="64" t="s">
        <v>23</v>
      </c>
      <c r="C155" s="736" t="s">
        <v>167</v>
      </c>
      <c r="D155" s="736" t="s">
        <v>8</v>
      </c>
      <c r="E155" s="736"/>
      <c r="F155" s="1032"/>
      <c r="G155" s="318"/>
      <c r="H155" s="1034"/>
      <c r="I155" s="1035"/>
      <c r="J155" s="319"/>
      <c r="K155" s="320"/>
      <c r="N155" s="59"/>
    </row>
    <row r="156" spans="1:103" s="322" customFormat="1" ht="15.75" customHeight="1">
      <c r="A156" s="96">
        <v>33</v>
      </c>
      <c r="B156" s="90" t="s">
        <v>0</v>
      </c>
      <c r="C156" s="111" t="s">
        <v>74</v>
      </c>
      <c r="D156" s="86" t="s">
        <v>176</v>
      </c>
      <c r="E156" s="87" t="s">
        <v>34</v>
      </c>
      <c r="F156" s="99">
        <f>E157</f>
        <v>0</v>
      </c>
      <c r="G156" s="321"/>
      <c r="H156" s="1041"/>
      <c r="I156" s="1041"/>
      <c r="J156" s="319"/>
      <c r="K156" s="101"/>
      <c r="N156" s="101"/>
    </row>
    <row r="157" spans="1:103" s="101" customFormat="1" ht="57" customHeight="1">
      <c r="A157" s="96"/>
      <c r="B157" s="90"/>
      <c r="C157" s="110" t="s">
        <v>498</v>
      </c>
      <c r="D157" s="88" t="s">
        <v>177</v>
      </c>
      <c r="E157" s="84">
        <v>0</v>
      </c>
      <c r="F157" s="124" t="s">
        <v>34</v>
      </c>
      <c r="G157" s="318"/>
      <c r="H157" s="203">
        <v>14.94</v>
      </c>
      <c r="I157" s="203">
        <f>H157*F156</f>
        <v>0</v>
      </c>
      <c r="J157" s="314"/>
      <c r="K157" s="322"/>
      <c r="N157" s="322"/>
    </row>
    <row r="158" spans="1:103" s="101" customFormat="1" ht="38.25">
      <c r="A158" s="95" t="s">
        <v>558</v>
      </c>
      <c r="B158" s="91" t="s">
        <v>0</v>
      </c>
      <c r="C158" s="110" t="s">
        <v>562</v>
      </c>
      <c r="D158" s="88" t="s">
        <v>177</v>
      </c>
      <c r="E158" s="84">
        <v>0</v>
      </c>
      <c r="F158" s="124">
        <f>E158</f>
        <v>0</v>
      </c>
      <c r="G158" s="318"/>
      <c r="H158" s="203"/>
      <c r="I158" s="203"/>
      <c r="J158" s="319"/>
    </row>
    <row r="159" spans="1:103" s="8" customFormat="1" ht="18.75" hidden="1" customHeight="1">
      <c r="A159" s="96">
        <v>44</v>
      </c>
      <c r="B159" s="89" t="s">
        <v>117</v>
      </c>
      <c r="C159" s="111" t="s">
        <v>168</v>
      </c>
      <c r="D159" s="86" t="s">
        <v>176</v>
      </c>
      <c r="E159" s="87" t="s">
        <v>34</v>
      </c>
      <c r="F159" s="99">
        <f>E160</f>
        <v>0</v>
      </c>
      <c r="G159" s="9"/>
      <c r="H159" s="55"/>
      <c r="I159" s="56"/>
      <c r="J159" s="40"/>
      <c r="N159" s="101"/>
    </row>
    <row r="160" spans="1:103" s="8" customFormat="1" ht="80.25" hidden="1" customHeight="1">
      <c r="A160" s="95"/>
      <c r="B160" s="91"/>
      <c r="C160" s="110" t="s">
        <v>352</v>
      </c>
      <c r="D160" s="88" t="s">
        <v>177</v>
      </c>
      <c r="E160" s="84">
        <v>0</v>
      </c>
      <c r="F160" s="124" t="s">
        <v>34</v>
      </c>
      <c r="G160" s="9"/>
      <c r="H160" s="55"/>
      <c r="I160" s="56"/>
    </row>
    <row r="161" spans="1:14" s="8" customFormat="1" ht="30" customHeight="1">
      <c r="A161" s="96">
        <v>34</v>
      </c>
      <c r="B161" s="90" t="s">
        <v>559</v>
      </c>
      <c r="C161" s="111" t="s">
        <v>560</v>
      </c>
      <c r="D161" s="86" t="s">
        <v>176</v>
      </c>
      <c r="E161" s="87" t="s">
        <v>34</v>
      </c>
      <c r="F161" s="99">
        <f>E162</f>
        <v>0</v>
      </c>
      <c r="G161" s="9"/>
      <c r="H161" s="55"/>
      <c r="I161" s="56"/>
    </row>
    <row r="162" spans="1:14" s="8" customFormat="1" ht="54.75" customHeight="1">
      <c r="A162" s="95"/>
      <c r="B162" s="91"/>
      <c r="C162" s="110" t="s">
        <v>561</v>
      </c>
      <c r="D162" s="88" t="s">
        <v>177</v>
      </c>
      <c r="E162" s="84">
        <v>0</v>
      </c>
      <c r="F162" s="124" t="s">
        <v>34</v>
      </c>
      <c r="G162" s="9"/>
      <c r="H162" s="55"/>
      <c r="I162" s="56"/>
    </row>
    <row r="163" spans="1:14" s="8" customFormat="1" ht="18.75" customHeight="1">
      <c r="A163" s="63" t="s">
        <v>34</v>
      </c>
      <c r="B163" s="64" t="s">
        <v>501</v>
      </c>
      <c r="C163" s="736" t="s">
        <v>500</v>
      </c>
      <c r="D163" s="736" t="s">
        <v>8</v>
      </c>
      <c r="E163" s="736"/>
      <c r="F163" s="1032"/>
      <c r="G163" s="9"/>
      <c r="H163" s="55"/>
      <c r="I163" s="56"/>
    </row>
    <row r="164" spans="1:14" s="8" customFormat="1" ht="18.75" customHeight="1">
      <c r="A164" s="96">
        <v>35</v>
      </c>
      <c r="B164" s="90" t="s">
        <v>196</v>
      </c>
      <c r="C164" s="111" t="s">
        <v>503</v>
      </c>
      <c r="D164" s="86" t="s">
        <v>176</v>
      </c>
      <c r="E164" s="87" t="s">
        <v>34</v>
      </c>
      <c r="F164" s="99">
        <f>E165</f>
        <v>2</v>
      </c>
      <c r="G164" s="9"/>
      <c r="H164" s="55"/>
      <c r="I164" s="56"/>
    </row>
    <row r="165" spans="1:14" s="8" customFormat="1" ht="42.75" customHeight="1">
      <c r="A165" s="96"/>
      <c r="B165" s="90"/>
      <c r="C165" s="110" t="s">
        <v>553</v>
      </c>
      <c r="D165" s="88" t="s">
        <v>177</v>
      </c>
      <c r="E165" s="84">
        <v>2</v>
      </c>
      <c r="F165" s="124" t="s">
        <v>34</v>
      </c>
      <c r="G165" s="9"/>
      <c r="H165" s="55"/>
      <c r="I165" s="56"/>
    </row>
    <row r="166" spans="1:14" s="11" customFormat="1" ht="18" hidden="1" customHeight="1">
      <c r="A166" s="63" t="s">
        <v>34</v>
      </c>
      <c r="B166" s="64" t="s">
        <v>171</v>
      </c>
      <c r="C166" s="736" t="s">
        <v>172</v>
      </c>
      <c r="D166" s="736" t="s">
        <v>8</v>
      </c>
      <c r="E166" s="736"/>
      <c r="F166" s="1032"/>
      <c r="G166" s="39"/>
      <c r="H166" s="44"/>
      <c r="I166" s="45"/>
    </row>
    <row r="167" spans="1:14" s="11" customFormat="1" ht="18.75" hidden="1" customHeight="1">
      <c r="A167" s="96">
        <v>48</v>
      </c>
      <c r="B167" s="89" t="s">
        <v>173</v>
      </c>
      <c r="C167" s="111" t="s">
        <v>218</v>
      </c>
      <c r="D167" s="86" t="s">
        <v>11</v>
      </c>
      <c r="E167" s="87" t="s">
        <v>34</v>
      </c>
      <c r="F167" s="99">
        <f>E168</f>
        <v>0</v>
      </c>
      <c r="G167" s="39"/>
      <c r="H167" s="44"/>
      <c r="I167" s="45"/>
    </row>
    <row r="168" spans="1:14" s="11" customFormat="1" ht="64.5" hidden="1" customHeight="1">
      <c r="A168" s="96"/>
      <c r="B168" s="91"/>
      <c r="C168" s="110" t="s">
        <v>339</v>
      </c>
      <c r="D168" s="88" t="s">
        <v>11</v>
      </c>
      <c r="E168" s="84">
        <v>0</v>
      </c>
      <c r="F168" s="99" t="s">
        <v>34</v>
      </c>
      <c r="G168" s="39"/>
      <c r="H168" s="44"/>
      <c r="I168" s="45"/>
    </row>
    <row r="169" spans="1:14" s="11" customFormat="1" ht="30" customHeight="1">
      <c r="A169" s="24" t="s">
        <v>33</v>
      </c>
      <c r="B169" s="21" t="s">
        <v>64</v>
      </c>
      <c r="C169" s="737" t="s">
        <v>185</v>
      </c>
      <c r="D169" s="737"/>
      <c r="E169" s="737"/>
      <c r="F169" s="1031"/>
      <c r="G169" s="39"/>
      <c r="H169" s="44"/>
      <c r="I169" s="45"/>
    </row>
    <row r="170" spans="1:14" s="11" customFormat="1" ht="18" customHeight="1">
      <c r="A170" s="63" t="s">
        <v>34</v>
      </c>
      <c r="B170" s="64" t="s">
        <v>24</v>
      </c>
      <c r="C170" s="736" t="s">
        <v>25</v>
      </c>
      <c r="D170" s="736" t="s">
        <v>8</v>
      </c>
      <c r="E170" s="736"/>
      <c r="F170" s="1032"/>
      <c r="G170" s="39"/>
      <c r="H170" s="44"/>
      <c r="I170" s="45"/>
    </row>
    <row r="171" spans="1:14" s="11" customFormat="1" ht="29.25" customHeight="1">
      <c r="A171" s="96">
        <v>36</v>
      </c>
      <c r="B171" s="90" t="s">
        <v>505</v>
      </c>
      <c r="C171" s="114" t="s">
        <v>506</v>
      </c>
      <c r="D171" s="86" t="s">
        <v>11</v>
      </c>
      <c r="E171" s="87" t="s">
        <v>34</v>
      </c>
      <c r="F171" s="99">
        <f>SUM(E172:E172)</f>
        <v>53</v>
      </c>
      <c r="G171" s="39"/>
      <c r="H171" s="44"/>
      <c r="I171" s="45"/>
    </row>
    <row r="172" spans="1:14" s="11" customFormat="1" ht="57.75" customHeight="1">
      <c r="A172" s="96"/>
      <c r="B172" s="91"/>
      <c r="C172" s="110" t="s">
        <v>564</v>
      </c>
      <c r="D172" s="88" t="s">
        <v>11</v>
      </c>
      <c r="E172" s="84">
        <f>53</f>
        <v>53</v>
      </c>
      <c r="F172" s="99" t="s">
        <v>34</v>
      </c>
      <c r="G172" s="39"/>
      <c r="H172" s="44"/>
      <c r="I172" s="45"/>
      <c r="K172" s="312" t="s">
        <v>476</v>
      </c>
    </row>
    <row r="173" spans="1:14" s="8" customFormat="1" ht="18" customHeight="1">
      <c r="A173" s="63" t="s">
        <v>34</v>
      </c>
      <c r="B173" s="64" t="s">
        <v>26</v>
      </c>
      <c r="C173" s="736" t="s">
        <v>27</v>
      </c>
      <c r="D173" s="736" t="s">
        <v>8</v>
      </c>
      <c r="E173" s="736"/>
      <c r="F173" s="1032"/>
      <c r="G173" s="9"/>
      <c r="H173" s="35">
        <v>90.78</v>
      </c>
      <c r="I173" s="35">
        <f>H173*F171</f>
        <v>4811.34</v>
      </c>
      <c r="J173" s="11"/>
      <c r="K173" s="11"/>
      <c r="N173" s="11"/>
    </row>
    <row r="174" spans="1:14" s="8" customFormat="1" ht="18" customHeight="1">
      <c r="A174" s="96">
        <v>37</v>
      </c>
      <c r="B174" s="90" t="s">
        <v>91</v>
      </c>
      <c r="C174" s="111" t="s">
        <v>92</v>
      </c>
      <c r="D174" s="86" t="s">
        <v>176</v>
      </c>
      <c r="E174" s="87" t="s">
        <v>34</v>
      </c>
      <c r="F174" s="99">
        <f>E175</f>
        <v>93</v>
      </c>
      <c r="G174" s="9"/>
      <c r="H174" s="36"/>
      <c r="I174" s="36"/>
      <c r="J174" s="11"/>
      <c r="K174" s="11"/>
      <c r="L174" s="39"/>
      <c r="M174" s="39"/>
    </row>
    <row r="175" spans="1:14" s="13" customFormat="1" ht="77.25" customHeight="1">
      <c r="A175" s="96" t="s">
        <v>8</v>
      </c>
      <c r="B175" s="92"/>
      <c r="C175" s="110" t="s">
        <v>565</v>
      </c>
      <c r="D175" s="88" t="s">
        <v>177</v>
      </c>
      <c r="E175" s="84">
        <f>88+5</f>
        <v>93</v>
      </c>
      <c r="F175" s="99" t="s">
        <v>34</v>
      </c>
      <c r="G175" s="19"/>
      <c r="H175" s="35">
        <v>72.3</v>
      </c>
      <c r="I175" s="35" t="e">
        <f>H175*#REF!</f>
        <v>#REF!</v>
      </c>
      <c r="J175" s="11"/>
      <c r="K175" s="312" t="s">
        <v>476</v>
      </c>
      <c r="N175" s="8"/>
    </row>
    <row r="176" spans="1:14" s="8" customFormat="1" ht="19.5" customHeight="1">
      <c r="A176" s="96">
        <v>38</v>
      </c>
      <c r="B176" s="90" t="s">
        <v>1</v>
      </c>
      <c r="C176" s="111" t="s">
        <v>219</v>
      </c>
      <c r="D176" s="86" t="s">
        <v>176</v>
      </c>
      <c r="E176" s="87" t="s">
        <v>34</v>
      </c>
      <c r="F176" s="99">
        <f>E177</f>
        <v>10.8</v>
      </c>
      <c r="G176" s="9"/>
      <c r="H176" s="36"/>
      <c r="I176" s="36"/>
      <c r="J176" s="11"/>
      <c r="N176" s="13"/>
    </row>
    <row r="177" spans="1:14" s="8" customFormat="1" ht="54" customHeight="1">
      <c r="A177" s="96" t="s">
        <v>8</v>
      </c>
      <c r="B177" s="92"/>
      <c r="C177" s="110" t="s">
        <v>566</v>
      </c>
      <c r="D177" s="88" t="s">
        <v>177</v>
      </c>
      <c r="E177" s="84">
        <f>10.8</f>
        <v>10.8</v>
      </c>
      <c r="F177" s="99" t="s">
        <v>34</v>
      </c>
      <c r="G177" s="9"/>
      <c r="H177" s="738"/>
      <c r="I177" s="738"/>
      <c r="K177" s="312" t="s">
        <v>476</v>
      </c>
    </row>
    <row r="178" spans="1:14" s="8" customFormat="1" ht="18" customHeight="1">
      <c r="A178" s="63" t="s">
        <v>34</v>
      </c>
      <c r="B178" s="64" t="s">
        <v>28</v>
      </c>
      <c r="C178" s="736" t="s">
        <v>29</v>
      </c>
      <c r="D178" s="736" t="s">
        <v>8</v>
      </c>
      <c r="E178" s="736"/>
      <c r="F178" s="1032"/>
      <c r="G178" s="9"/>
      <c r="H178" s="262"/>
      <c r="I178" s="262"/>
    </row>
    <row r="179" spans="1:14" s="8" customFormat="1" ht="17.25" customHeight="1">
      <c r="A179" s="96">
        <v>39</v>
      </c>
      <c r="B179" s="90" t="s">
        <v>2</v>
      </c>
      <c r="C179" s="111" t="s">
        <v>121</v>
      </c>
      <c r="D179" s="86" t="s">
        <v>11</v>
      </c>
      <c r="E179" s="87" t="s">
        <v>34</v>
      </c>
      <c r="F179" s="99">
        <f>E180</f>
        <v>53</v>
      </c>
      <c r="G179" s="9"/>
      <c r="H179" s="262"/>
      <c r="I179" s="262"/>
    </row>
    <row r="180" spans="1:14" s="11" customFormat="1" ht="43.5" customHeight="1" thickBot="1">
      <c r="A180" s="97" t="s">
        <v>8</v>
      </c>
      <c r="B180" s="141"/>
      <c r="C180" s="120" t="s">
        <v>567</v>
      </c>
      <c r="D180" s="121" t="s">
        <v>11</v>
      </c>
      <c r="E180" s="122">
        <v>53</v>
      </c>
      <c r="F180" s="125" t="s">
        <v>34</v>
      </c>
      <c r="G180" s="10"/>
      <c r="H180" s="35">
        <v>78.42</v>
      </c>
      <c r="I180" s="35">
        <f>H180*F176</f>
        <v>846.94</v>
      </c>
      <c r="J180" s="13"/>
      <c r="K180" s="312" t="s">
        <v>476</v>
      </c>
      <c r="N180" s="8"/>
    </row>
    <row r="181" spans="1:14">
      <c r="F181" s="18"/>
      <c r="N181" s="11"/>
    </row>
    <row r="182" spans="1:14">
      <c r="F182" s="18"/>
    </row>
    <row r="183" spans="1:14">
      <c r="F183" s="18"/>
    </row>
    <row r="184" spans="1:14">
      <c r="F184" s="18"/>
    </row>
    <row r="185" spans="1:14">
      <c r="F185" s="18"/>
    </row>
    <row r="186" spans="1:14">
      <c r="F186" s="18"/>
    </row>
  </sheetData>
  <autoFilter ref="A3:F180"/>
  <mergeCells count="54">
    <mergeCell ref="C178:F178"/>
    <mergeCell ref="C166:F166"/>
    <mergeCell ref="C169:F169"/>
    <mergeCell ref="C170:F170"/>
    <mergeCell ref="C173:F173"/>
    <mergeCell ref="H177:I177"/>
    <mergeCell ref="C155:F155"/>
    <mergeCell ref="H155:I155"/>
    <mergeCell ref="H156:I156"/>
    <mergeCell ref="C163:F163"/>
    <mergeCell ref="H108:I108"/>
    <mergeCell ref="C111:F111"/>
    <mergeCell ref="C154:F154"/>
    <mergeCell ref="H117:I117"/>
    <mergeCell ref="C123:F123"/>
    <mergeCell ref="H126:I126"/>
    <mergeCell ref="C128:F128"/>
    <mergeCell ref="C133:F133"/>
    <mergeCell ref="C134:F134"/>
    <mergeCell ref="C137:F137"/>
    <mergeCell ref="H137:I137"/>
    <mergeCell ref="H140:I140"/>
    <mergeCell ref="C146:F146"/>
    <mergeCell ref="C151:F151"/>
    <mergeCell ref="C114:F114"/>
    <mergeCell ref="C79:F79"/>
    <mergeCell ref="C82:F82"/>
    <mergeCell ref="C107:F107"/>
    <mergeCell ref="C108:F108"/>
    <mergeCell ref="C29:F29"/>
    <mergeCell ref="C60:F60"/>
    <mergeCell ref="C61:F61"/>
    <mergeCell ref="C66:F66"/>
    <mergeCell ref="C71:F71"/>
    <mergeCell ref="C72:F72"/>
    <mergeCell ref="H29:I29"/>
    <mergeCell ref="C5:F5"/>
    <mergeCell ref="H5:I5"/>
    <mergeCell ref="C6:F6"/>
    <mergeCell ref="B14:F14"/>
    <mergeCell ref="H14:I14"/>
    <mergeCell ref="C15:F15"/>
    <mergeCell ref="H15:I15"/>
    <mergeCell ref="C16:F16"/>
    <mergeCell ref="H16:I16"/>
    <mergeCell ref="C19:F19"/>
    <mergeCell ref="C24:F24"/>
    <mergeCell ref="H24:I24"/>
    <mergeCell ref="A1:F1"/>
    <mergeCell ref="H1:I1"/>
    <mergeCell ref="A2:F2"/>
    <mergeCell ref="H2:I2"/>
    <mergeCell ref="B4:F4"/>
    <mergeCell ref="H4:I4"/>
  </mergeCells>
  <printOptions horizontalCentered="1"/>
  <pageMargins left="0.47244094488188981" right="0.27559055118110237" top="0.39370078740157483" bottom="0.31496062992125984" header="0.23622047244094491" footer="0.15748031496062992"/>
  <pageSetup paperSize="9" scale="55" orientation="portrait" r:id="rId1"/>
  <headerFooter alignWithMargins="0"/>
  <rowBreaks count="1" manualBreakCount="1">
    <brk id="47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M46"/>
  <sheetViews>
    <sheetView view="pageBreakPreview" topLeftCell="C1" zoomScaleNormal="100" zoomScaleSheetLayoutView="100" zoomScalePageLayoutView="55" workbookViewId="0">
      <selection activeCell="N20" sqref="N20"/>
    </sheetView>
  </sheetViews>
  <sheetFormatPr defaultRowHeight="12.75"/>
  <sheetData>
    <row r="2" spans="1:9" ht="52.5" customHeight="1">
      <c r="A2" s="408"/>
    </row>
    <row r="7" spans="1:9" ht="68.25" customHeight="1">
      <c r="A7" s="749" t="s">
        <v>726</v>
      </c>
      <c r="B7" s="730"/>
      <c r="C7" s="730"/>
      <c r="D7" s="730"/>
      <c r="E7" s="730"/>
      <c r="F7" s="730"/>
      <c r="G7" s="730"/>
      <c r="H7" s="730"/>
      <c r="I7" s="750"/>
    </row>
    <row r="8" spans="1:9" ht="30">
      <c r="A8" s="748"/>
      <c r="B8" s="748"/>
      <c r="C8" s="748"/>
      <c r="D8" s="748"/>
      <c r="E8" s="748"/>
      <c r="F8" s="748"/>
      <c r="G8" s="748"/>
      <c r="H8" s="748"/>
      <c r="I8" s="748"/>
    </row>
    <row r="9" spans="1:9" ht="30">
      <c r="A9" s="748"/>
      <c r="B9" s="748"/>
      <c r="C9" s="748"/>
      <c r="D9" s="748"/>
      <c r="E9" s="748"/>
      <c r="F9" s="748"/>
      <c r="G9" s="748"/>
      <c r="H9" s="748"/>
      <c r="I9" s="748"/>
    </row>
    <row r="10" spans="1:9" ht="30" hidden="1">
      <c r="A10" s="748"/>
      <c r="B10" s="748"/>
      <c r="C10" s="748"/>
      <c r="D10" s="748"/>
      <c r="E10" s="748"/>
      <c r="F10" s="748"/>
      <c r="G10" s="748"/>
      <c r="H10" s="748"/>
      <c r="I10" s="748"/>
    </row>
    <row r="11" spans="1:9" ht="30" hidden="1">
      <c r="A11" s="748"/>
      <c r="B11" s="748"/>
      <c r="C11" s="748"/>
      <c r="D11" s="748"/>
      <c r="E11" s="748"/>
      <c r="F11" s="748"/>
      <c r="G11" s="748"/>
      <c r="H11" s="748"/>
      <c r="I11" s="748"/>
    </row>
    <row r="12" spans="1:9" ht="30">
      <c r="A12" s="748"/>
      <c r="B12" s="748"/>
      <c r="C12" s="748"/>
      <c r="D12" s="748"/>
      <c r="E12" s="748"/>
      <c r="F12" s="748"/>
      <c r="G12" s="748"/>
      <c r="H12" s="748"/>
      <c r="I12" s="748"/>
    </row>
    <row r="13" spans="1:9" ht="30">
      <c r="A13" s="748"/>
      <c r="B13" s="748"/>
      <c r="C13" s="748"/>
      <c r="D13" s="748"/>
      <c r="E13" s="748"/>
      <c r="F13" s="748"/>
      <c r="G13" s="748"/>
      <c r="H13" s="748"/>
      <c r="I13" s="748"/>
    </row>
    <row r="14" spans="1:9" ht="30">
      <c r="A14" s="748"/>
      <c r="B14" s="748"/>
      <c r="C14" s="748"/>
      <c r="D14" s="748"/>
      <c r="E14" s="748"/>
      <c r="F14" s="748"/>
      <c r="G14" s="748"/>
      <c r="H14" s="748"/>
      <c r="I14" s="748"/>
    </row>
    <row r="15" spans="1:9" ht="30">
      <c r="A15" s="748"/>
      <c r="B15" s="748"/>
      <c r="C15" s="748"/>
      <c r="D15" s="748"/>
      <c r="E15" s="748"/>
      <c r="F15" s="748"/>
      <c r="G15" s="748"/>
      <c r="H15" s="748"/>
      <c r="I15" s="748"/>
    </row>
    <row r="16" spans="1:9" ht="30">
      <c r="A16" s="748"/>
      <c r="B16" s="748"/>
      <c r="C16" s="748"/>
      <c r="D16" s="748"/>
      <c r="E16" s="748"/>
      <c r="F16" s="748"/>
      <c r="G16" s="748"/>
      <c r="H16" s="748"/>
      <c r="I16" s="748"/>
    </row>
    <row r="17" spans="1:13" ht="30">
      <c r="A17" s="748"/>
      <c r="B17" s="748"/>
      <c r="C17" s="748"/>
      <c r="D17" s="748"/>
      <c r="E17" s="748"/>
      <c r="F17" s="748"/>
      <c r="G17" s="748"/>
      <c r="H17" s="748"/>
      <c r="I17" s="748"/>
    </row>
    <row r="18" spans="1:13" ht="30">
      <c r="A18" s="748"/>
      <c r="B18" s="748"/>
      <c r="C18" s="748"/>
      <c r="D18" s="748"/>
      <c r="E18" s="748"/>
      <c r="F18" s="748"/>
      <c r="G18" s="748"/>
      <c r="H18" s="748"/>
      <c r="I18" s="748"/>
    </row>
    <row r="19" spans="1:13" ht="30">
      <c r="A19" s="747"/>
      <c r="B19" s="747"/>
      <c r="C19" s="747"/>
      <c r="D19" s="747"/>
      <c r="E19" s="747"/>
      <c r="F19" s="747"/>
      <c r="G19" s="748"/>
      <c r="H19" s="748"/>
      <c r="I19" s="748"/>
    </row>
    <row r="20" spans="1:13" ht="30">
      <c r="A20" s="747"/>
      <c r="B20" s="747"/>
      <c r="C20" s="747"/>
      <c r="D20" s="747"/>
      <c r="E20" s="747"/>
      <c r="F20" s="747"/>
      <c r="G20" s="748"/>
      <c r="H20" s="748"/>
      <c r="I20" s="748"/>
    </row>
    <row r="21" spans="1:13">
      <c r="A21" s="415"/>
      <c r="B21" s="415"/>
      <c r="C21" s="415"/>
      <c r="D21" s="415"/>
      <c r="E21" s="415"/>
      <c r="F21" s="415"/>
    </row>
    <row r="22" spans="1:13">
      <c r="A22" s="415"/>
      <c r="B22" s="415"/>
      <c r="C22" s="415"/>
      <c r="D22" s="415"/>
      <c r="E22" s="415"/>
      <c r="F22" s="415"/>
    </row>
    <row r="23" spans="1:13">
      <c r="A23" s="415"/>
      <c r="B23" s="415"/>
      <c r="C23" s="415"/>
      <c r="D23" s="415"/>
      <c r="E23" s="415"/>
      <c r="F23" s="415"/>
    </row>
    <row r="25" spans="1:13">
      <c r="F25" s="411"/>
    </row>
    <row r="26" spans="1:13">
      <c r="E26" s="411"/>
    </row>
    <row r="30" spans="1:13">
      <c r="F30" s="411"/>
    </row>
    <row r="31" spans="1:13" ht="54" customHeight="1">
      <c r="C31" s="408"/>
      <c r="E31" s="411"/>
      <c r="K31" s="438"/>
    </row>
    <row r="32" spans="1:13" ht="48" customHeight="1">
      <c r="C32" s="408"/>
      <c r="K32" s="415"/>
      <c r="L32" s="415"/>
      <c r="M32" s="415"/>
    </row>
    <row r="36" spans="1:6">
      <c r="A36" s="415"/>
      <c r="B36" s="415"/>
      <c r="C36" s="415"/>
      <c r="D36" s="415"/>
      <c r="E36" s="415"/>
      <c r="F36" s="415"/>
    </row>
    <row r="37" spans="1:6">
      <c r="A37" s="415"/>
      <c r="B37" s="415"/>
      <c r="C37" s="415"/>
      <c r="D37" s="415"/>
      <c r="E37" s="415"/>
      <c r="F37" s="415"/>
    </row>
    <row r="38" spans="1:6">
      <c r="A38" s="415"/>
      <c r="B38" s="415"/>
      <c r="C38" s="415"/>
      <c r="D38" s="415"/>
      <c r="E38" s="415"/>
      <c r="F38" s="415"/>
    </row>
    <row r="39" spans="1:6">
      <c r="F39" s="411"/>
    </row>
    <row r="40" spans="1:6">
      <c r="E40" s="411"/>
    </row>
    <row r="41" spans="1:6">
      <c r="E41" s="411"/>
    </row>
    <row r="45" spans="1:6">
      <c r="F45" s="411"/>
    </row>
    <row r="46" spans="1:6">
      <c r="E46" s="411"/>
    </row>
  </sheetData>
  <mergeCells count="14">
    <mergeCell ref="A12:I12"/>
    <mergeCell ref="A7:I7"/>
    <mergeCell ref="A8:I8"/>
    <mergeCell ref="A9:I9"/>
    <mergeCell ref="A10:I10"/>
    <mergeCell ref="A11:I11"/>
    <mergeCell ref="A19:I19"/>
    <mergeCell ref="A20:I20"/>
    <mergeCell ref="A13:I13"/>
    <mergeCell ref="A14:I14"/>
    <mergeCell ref="A15:I15"/>
    <mergeCell ref="A16:I16"/>
    <mergeCell ref="A17:I17"/>
    <mergeCell ref="A18:I18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2:AF53"/>
  <sheetViews>
    <sheetView view="pageBreakPreview" topLeftCell="C1" zoomScaleNormal="70" zoomScaleSheetLayoutView="100" zoomScalePageLayoutView="40" workbookViewId="0">
      <selection activeCell="C2" sqref="C2:AD2"/>
    </sheetView>
  </sheetViews>
  <sheetFormatPr defaultRowHeight="12.75"/>
  <cols>
    <col min="1" max="2" width="14.28515625" style="176" customWidth="1"/>
    <col min="3" max="3" width="12.28515625" style="176" customWidth="1"/>
    <col min="4" max="4" width="20.42578125" style="176" customWidth="1"/>
    <col min="5" max="5" width="14.42578125" style="176" customWidth="1"/>
    <col min="6" max="6" width="13" style="176" customWidth="1"/>
    <col min="7" max="7" width="19.42578125" style="176" customWidth="1"/>
    <col min="8" max="8" width="18" style="176" customWidth="1"/>
    <col min="9" max="9" width="13.140625" style="176" customWidth="1"/>
    <col min="10" max="10" width="11.85546875" style="176" customWidth="1"/>
    <col min="11" max="11" width="11.5703125" style="176" customWidth="1"/>
    <col min="12" max="12" width="10.42578125" style="176" customWidth="1"/>
    <col min="13" max="13" width="14.5703125" style="176" customWidth="1"/>
    <col min="14" max="14" width="7.28515625" style="176" customWidth="1"/>
    <col min="15" max="15" width="15.85546875" style="176" hidden="1" customWidth="1"/>
    <col min="16" max="16" width="15.85546875" style="176" customWidth="1"/>
    <col min="17" max="17" width="13.5703125" style="176" hidden="1" customWidth="1"/>
    <col min="18" max="19" width="13.5703125" style="176" customWidth="1"/>
    <col min="20" max="20" width="13.5703125" style="176" hidden="1" customWidth="1"/>
    <col min="21" max="22" width="15.85546875" style="176" customWidth="1"/>
    <col min="23" max="27" width="15.85546875" style="176" hidden="1" customWidth="1"/>
    <col min="28" max="29" width="13.7109375" style="193" hidden="1" customWidth="1"/>
    <col min="30" max="30" width="18.28515625" style="176" hidden="1" customWidth="1"/>
    <col min="31" max="31" width="10.42578125" style="176" hidden="1" customWidth="1"/>
    <col min="32" max="32" width="24.140625" style="176" customWidth="1"/>
    <col min="33" max="16384" width="9.140625" style="176"/>
  </cols>
  <sheetData>
    <row r="2" spans="1:32" ht="52.5" customHeight="1" thickBot="1">
      <c r="A2" s="407" t="s">
        <v>688</v>
      </c>
      <c r="C2" s="1046" t="s">
        <v>669</v>
      </c>
      <c r="D2" s="1046"/>
      <c r="E2" s="1046"/>
      <c r="F2" s="1046"/>
      <c r="G2" s="1046"/>
      <c r="H2" s="1046"/>
      <c r="I2" s="1046"/>
      <c r="J2" s="1046"/>
      <c r="K2" s="1046"/>
      <c r="L2" s="1046"/>
      <c r="M2" s="1046"/>
      <c r="N2" s="1046"/>
      <c r="O2" s="1046"/>
      <c r="P2" s="1046"/>
      <c r="Q2" s="1046"/>
      <c r="R2" s="1046"/>
      <c r="S2" s="1046"/>
      <c r="T2" s="1046"/>
      <c r="U2" s="1046"/>
      <c r="V2" s="1046"/>
      <c r="W2" s="1046"/>
      <c r="X2" s="1046"/>
      <c r="Y2" s="1046"/>
      <c r="Z2" s="1046"/>
      <c r="AA2" s="1046"/>
      <c r="AB2" s="1046"/>
      <c r="AC2" s="1046"/>
      <c r="AD2" s="1046"/>
      <c r="AE2" s="189"/>
      <c r="AF2" s="244"/>
    </row>
    <row r="3" spans="1:32" ht="61.5" customHeight="1">
      <c r="A3" s="1049" t="s">
        <v>361</v>
      </c>
      <c r="B3" s="1050"/>
      <c r="C3" s="1050"/>
      <c r="D3" s="1050"/>
      <c r="E3" s="1050"/>
      <c r="F3" s="1050"/>
      <c r="G3" s="1050"/>
      <c r="H3" s="1050"/>
      <c r="I3" s="352"/>
      <c r="J3" s="352"/>
      <c r="K3" s="352"/>
      <c r="L3" s="352"/>
      <c r="M3" s="1053" t="s">
        <v>403</v>
      </c>
      <c r="N3" s="1053"/>
      <c r="O3" s="1053"/>
      <c r="P3" s="1053"/>
      <c r="Q3" s="1054"/>
      <c r="R3" s="247"/>
      <c r="S3" s="247"/>
      <c r="T3" s="247"/>
      <c r="U3" s="1045" t="s">
        <v>610</v>
      </c>
      <c r="V3" s="1045"/>
      <c r="W3" s="1045" t="s">
        <v>50</v>
      </c>
      <c r="X3" s="1045"/>
      <c r="Y3" s="1045"/>
      <c r="Z3" s="246" t="s">
        <v>367</v>
      </c>
      <c r="AA3" s="247" t="s">
        <v>405</v>
      </c>
      <c r="AB3" s="248"/>
      <c r="AC3" s="248"/>
      <c r="AD3" s="248"/>
      <c r="AE3" s="249"/>
      <c r="AF3" s="250" t="s">
        <v>404</v>
      </c>
    </row>
    <row r="4" spans="1:32" ht="114.75">
      <c r="A4" s="251" t="s">
        <v>382</v>
      </c>
      <c r="B4" s="350" t="s">
        <v>583</v>
      </c>
      <c r="C4" s="199" t="s">
        <v>679</v>
      </c>
      <c r="D4" s="199" t="s">
        <v>302</v>
      </c>
      <c r="E4" s="199" t="s">
        <v>303</v>
      </c>
      <c r="F4" s="199" t="s">
        <v>304</v>
      </c>
      <c r="G4" s="199" t="s">
        <v>305</v>
      </c>
      <c r="H4" s="199" t="s">
        <v>581</v>
      </c>
      <c r="I4" s="199" t="s">
        <v>307</v>
      </c>
      <c r="J4" s="199" t="s">
        <v>308</v>
      </c>
      <c r="K4" s="199" t="s">
        <v>309</v>
      </c>
      <c r="L4" s="199" t="s">
        <v>310</v>
      </c>
      <c r="M4" s="1047" t="s">
        <v>372</v>
      </c>
      <c r="N4" s="1048"/>
      <c r="O4" s="198" t="s">
        <v>311</v>
      </c>
      <c r="P4" s="198" t="s">
        <v>386</v>
      </c>
      <c r="Q4" s="198" t="s">
        <v>373</v>
      </c>
      <c r="R4" s="198" t="s">
        <v>584</v>
      </c>
      <c r="S4" s="198" t="s">
        <v>677</v>
      </c>
      <c r="T4" s="198" t="s">
        <v>584</v>
      </c>
      <c r="U4" s="198" t="s">
        <v>362</v>
      </c>
      <c r="V4" s="198" t="s">
        <v>625</v>
      </c>
      <c r="W4" s="198" t="s">
        <v>365</v>
      </c>
      <c r="X4" s="198" t="s">
        <v>364</v>
      </c>
      <c r="Y4" s="198" t="s">
        <v>366</v>
      </c>
      <c r="Z4" s="198" t="s">
        <v>502</v>
      </c>
      <c r="AA4" s="198" t="s">
        <v>387</v>
      </c>
      <c r="AB4" s="198" t="s">
        <v>312</v>
      </c>
      <c r="AC4" s="198" t="s">
        <v>313</v>
      </c>
      <c r="AD4" s="198" t="s">
        <v>314</v>
      </c>
      <c r="AE4" s="198" t="s">
        <v>315</v>
      </c>
      <c r="AF4" s="252" t="s">
        <v>316</v>
      </c>
    </row>
    <row r="5" spans="1:32" s="241" customFormat="1" ht="30.75" customHeight="1">
      <c r="A5" s="1055" t="s">
        <v>618</v>
      </c>
      <c r="B5" s="187" t="s">
        <v>676</v>
      </c>
      <c r="C5" s="190" t="s">
        <v>188</v>
      </c>
      <c r="D5" s="190" t="s">
        <v>590</v>
      </c>
      <c r="E5" s="190">
        <v>3.85</v>
      </c>
      <c r="F5" s="190">
        <v>5</v>
      </c>
      <c r="G5" s="190">
        <v>6.75</v>
      </c>
      <c r="H5" s="190" t="s">
        <v>582</v>
      </c>
      <c r="I5" s="192" t="s">
        <v>360</v>
      </c>
      <c r="J5" s="1051">
        <v>8.3000000000000007</v>
      </c>
      <c r="K5" s="1051">
        <v>8.3000000000000007</v>
      </c>
      <c r="L5" s="1051" t="s">
        <v>318</v>
      </c>
      <c r="M5" s="190" t="str">
        <f t="shared" ref="M5:M15" si="0">H5</f>
        <v>bitumiczna</v>
      </c>
      <c r="N5" s="190">
        <f>F5*E5</f>
        <v>19.25</v>
      </c>
      <c r="O5" s="190" t="s">
        <v>34</v>
      </c>
      <c r="P5" s="190" t="s">
        <v>34</v>
      </c>
      <c r="Q5" s="190" t="s">
        <v>34</v>
      </c>
      <c r="R5" s="190">
        <f>E5</f>
        <v>3.85</v>
      </c>
      <c r="S5" s="190">
        <v>4.5</v>
      </c>
      <c r="T5" s="190">
        <v>1.35</v>
      </c>
      <c r="U5" s="190" t="s">
        <v>34</v>
      </c>
      <c r="V5" s="1059">
        <v>22.5</v>
      </c>
      <c r="W5" s="190">
        <f>1.8*5.5</f>
        <v>9.9</v>
      </c>
      <c r="X5" s="190" t="e">
        <f>U5+(5.5+0.8)*(2.6+0.4)</f>
        <v>#VALUE!</v>
      </c>
      <c r="Y5" s="190">
        <f>(2.6+0.15)*(5.5+0.3)</f>
        <v>15.95</v>
      </c>
      <c r="Z5" s="190">
        <f>2.6*0.5*2</f>
        <v>2.6</v>
      </c>
      <c r="AA5" s="190" t="s">
        <v>34</v>
      </c>
      <c r="AB5" s="190" t="s">
        <v>360</v>
      </c>
      <c r="AC5" s="190" t="s">
        <v>34</v>
      </c>
      <c r="AD5" s="190" t="s">
        <v>34</v>
      </c>
      <c r="AE5" s="190" t="s">
        <v>34</v>
      </c>
      <c r="AF5" s="253"/>
    </row>
    <row r="6" spans="1:32" s="241" customFormat="1" ht="30.75" customHeight="1">
      <c r="A6" s="1056"/>
      <c r="B6" s="187" t="s">
        <v>678</v>
      </c>
      <c r="C6" s="190" t="s">
        <v>188</v>
      </c>
      <c r="D6" s="190" t="s">
        <v>317</v>
      </c>
      <c r="E6" s="190">
        <f>E5</f>
        <v>3.85</v>
      </c>
      <c r="F6" s="190">
        <v>4.5</v>
      </c>
      <c r="G6" s="190">
        <v>6</v>
      </c>
      <c r="H6" s="190" t="s">
        <v>680</v>
      </c>
      <c r="I6" s="192" t="s">
        <v>360</v>
      </c>
      <c r="J6" s="1052"/>
      <c r="K6" s="1052"/>
      <c r="L6" s="1052"/>
      <c r="M6" s="190" t="s">
        <v>681</v>
      </c>
      <c r="N6" s="190">
        <f>G6*E6</f>
        <v>23.1</v>
      </c>
      <c r="O6" s="190"/>
      <c r="P6" s="190" t="s">
        <v>34</v>
      </c>
      <c r="Q6" s="190" t="s">
        <v>34</v>
      </c>
      <c r="R6" s="190">
        <f>R5</f>
        <v>3.85</v>
      </c>
      <c r="S6" s="190">
        <f>S5</f>
        <v>4.5</v>
      </c>
      <c r="T6" s="190">
        <v>1.35</v>
      </c>
      <c r="U6" s="190" t="s">
        <v>34</v>
      </c>
      <c r="V6" s="1060"/>
      <c r="W6" s="190">
        <f>1.8*4.5</f>
        <v>8.1</v>
      </c>
      <c r="X6" s="190" t="e">
        <f>U6+V6*1.32</f>
        <v>#VALUE!</v>
      </c>
      <c r="Y6" s="190">
        <f>V6*1.12</f>
        <v>0</v>
      </c>
      <c r="Z6" s="190">
        <f>3.4*1</f>
        <v>3.4</v>
      </c>
      <c r="AA6" s="190"/>
      <c r="AB6" s="190"/>
      <c r="AC6" s="190"/>
      <c r="AD6" s="190"/>
      <c r="AE6" s="190"/>
      <c r="AF6" s="253"/>
    </row>
    <row r="7" spans="1:32" s="241" customFormat="1" ht="30.75" customHeight="1">
      <c r="A7" s="1056"/>
      <c r="B7" s="187" t="s">
        <v>682</v>
      </c>
      <c r="C7" s="190" t="s">
        <v>683</v>
      </c>
      <c r="D7" s="190" t="s">
        <v>317</v>
      </c>
      <c r="E7" s="190">
        <v>2.27</v>
      </c>
      <c r="F7" s="190">
        <v>4.5</v>
      </c>
      <c r="G7" s="190">
        <v>4.75</v>
      </c>
      <c r="H7" s="190" t="s">
        <v>582</v>
      </c>
      <c r="I7" s="192" t="s">
        <v>360</v>
      </c>
      <c r="J7" s="427" t="s">
        <v>360</v>
      </c>
      <c r="K7" s="427" t="s">
        <v>360</v>
      </c>
      <c r="L7" s="427" t="s">
        <v>360</v>
      </c>
      <c r="M7" s="190" t="str">
        <f t="shared" si="0"/>
        <v>bitumiczna</v>
      </c>
      <c r="N7" s="190">
        <f>E7*F7</f>
        <v>10.220000000000001</v>
      </c>
      <c r="O7" s="190"/>
      <c r="P7" s="190" t="s">
        <v>34</v>
      </c>
      <c r="Q7" s="190" t="s">
        <v>34</v>
      </c>
      <c r="R7" s="190">
        <v>2.2999999999999998</v>
      </c>
      <c r="S7" s="190">
        <v>4.5999999999999996</v>
      </c>
      <c r="T7" s="190">
        <v>1.35</v>
      </c>
      <c r="U7" s="190">
        <v>12.44</v>
      </c>
      <c r="V7" s="190" t="s">
        <v>34</v>
      </c>
      <c r="W7" s="190">
        <f>U7</f>
        <v>12.44</v>
      </c>
      <c r="X7" s="190" t="e">
        <f>U7+V7*1.32</f>
        <v>#VALUE!</v>
      </c>
      <c r="Y7" s="190" t="e">
        <f>V7*1.12</f>
        <v>#VALUE!</v>
      </c>
      <c r="Z7" s="190">
        <f>2.8*1</f>
        <v>2.8</v>
      </c>
      <c r="AA7" s="190"/>
      <c r="AB7" s="190"/>
      <c r="AC7" s="190"/>
      <c r="AD7" s="190"/>
      <c r="AE7" s="190"/>
      <c r="AF7" s="253"/>
    </row>
    <row r="8" spans="1:32" s="241" customFormat="1" ht="60" customHeight="1">
      <c r="A8" s="1056"/>
      <c r="B8" s="187" t="s">
        <v>684</v>
      </c>
      <c r="C8" s="190" t="s">
        <v>188</v>
      </c>
      <c r="D8" s="190" t="s">
        <v>590</v>
      </c>
      <c r="E8" s="190">
        <v>4</v>
      </c>
      <c r="F8" s="190">
        <v>5.8</v>
      </c>
      <c r="G8" s="190">
        <f t="shared" ref="G8:G24" si="1">F8</f>
        <v>5.8</v>
      </c>
      <c r="H8" s="190" t="s">
        <v>582</v>
      </c>
      <c r="I8" s="192">
        <v>40</v>
      </c>
      <c r="J8" s="427">
        <v>7.5</v>
      </c>
      <c r="K8" s="427">
        <f>J8</f>
        <v>7.5</v>
      </c>
      <c r="L8" s="428" t="s">
        <v>318</v>
      </c>
      <c r="M8" s="190" t="str">
        <f t="shared" si="0"/>
        <v>bitumiczna</v>
      </c>
      <c r="N8" s="190">
        <f>E8*F8</f>
        <v>23.2</v>
      </c>
      <c r="O8" s="190"/>
      <c r="P8" s="190" t="s">
        <v>34</v>
      </c>
      <c r="Q8" s="190">
        <f>2*((7*0.6)*0.24*0.94)</f>
        <v>1.9</v>
      </c>
      <c r="R8" s="190">
        <v>4</v>
      </c>
      <c r="S8" s="190">
        <v>5</v>
      </c>
      <c r="T8" s="190">
        <v>1.35</v>
      </c>
      <c r="U8" s="190" t="s">
        <v>34</v>
      </c>
      <c r="V8" s="190">
        <f>4*5.3</f>
        <v>21.2</v>
      </c>
      <c r="W8" s="190">
        <f>V8*1.12</f>
        <v>23.74</v>
      </c>
      <c r="X8" s="190">
        <f>W8*1.1</f>
        <v>26.11</v>
      </c>
      <c r="Y8" s="190" t="s">
        <v>34</v>
      </c>
      <c r="Z8" s="190">
        <f>2*1</f>
        <v>2</v>
      </c>
      <c r="AA8" s="190"/>
      <c r="AB8" s="190"/>
      <c r="AC8" s="190"/>
      <c r="AD8" s="190"/>
      <c r="AE8" s="190"/>
      <c r="AF8" s="253"/>
    </row>
    <row r="9" spans="1:32" s="241" customFormat="1" ht="60" customHeight="1">
      <c r="A9" s="1056"/>
      <c r="B9" s="187" t="s">
        <v>685</v>
      </c>
      <c r="C9" s="190" t="s">
        <v>683</v>
      </c>
      <c r="D9" s="190" t="s">
        <v>317</v>
      </c>
      <c r="E9" s="190">
        <v>2.23</v>
      </c>
      <c r="F9" s="190">
        <v>6.21</v>
      </c>
      <c r="G9" s="190">
        <v>6.5</v>
      </c>
      <c r="H9" s="190" t="s">
        <v>582</v>
      </c>
      <c r="I9" s="192">
        <v>40</v>
      </c>
      <c r="J9" s="427" t="s">
        <v>360</v>
      </c>
      <c r="K9" s="427" t="s">
        <v>360</v>
      </c>
      <c r="L9" s="427" t="s">
        <v>360</v>
      </c>
      <c r="M9" s="190" t="str">
        <f t="shared" si="0"/>
        <v>bitumiczna</v>
      </c>
      <c r="N9" s="190">
        <f>F9*E9</f>
        <v>13.85</v>
      </c>
      <c r="O9" s="190"/>
      <c r="P9" s="190" t="s">
        <v>34</v>
      </c>
      <c r="Q9" s="190">
        <f>0.4*0.4*6</f>
        <v>0.96</v>
      </c>
      <c r="R9" s="190">
        <v>2.2999999999999998</v>
      </c>
      <c r="S9" s="190">
        <v>4.5</v>
      </c>
      <c r="T9" s="190">
        <v>1.5</v>
      </c>
      <c r="U9" s="190">
        <v>12.35</v>
      </c>
      <c r="V9" s="190" t="s">
        <v>34</v>
      </c>
      <c r="W9" s="190" t="str">
        <f>V9</f>
        <v>x</v>
      </c>
      <c r="X9" s="190" t="e">
        <f>V9+#REF!*1.32</f>
        <v>#VALUE!</v>
      </c>
      <c r="Y9" s="190" t="e">
        <f>#REF!*1.12</f>
        <v>#REF!</v>
      </c>
      <c r="Z9" s="190">
        <f>3.6*1</f>
        <v>3.6</v>
      </c>
      <c r="AA9" s="190"/>
      <c r="AB9" s="190"/>
      <c r="AC9" s="190"/>
      <c r="AD9" s="190"/>
      <c r="AE9" s="190"/>
      <c r="AF9" s="253"/>
    </row>
    <row r="10" spans="1:32" s="241" customFormat="1" ht="42.75" hidden="1" customHeight="1">
      <c r="A10" s="1056"/>
      <c r="B10" s="187" t="s">
        <v>586</v>
      </c>
      <c r="C10" s="190" t="s">
        <v>376</v>
      </c>
      <c r="D10" s="190" t="s">
        <v>317</v>
      </c>
      <c r="E10" s="190">
        <v>1.5</v>
      </c>
      <c r="F10" s="190">
        <v>5</v>
      </c>
      <c r="G10" s="190">
        <f t="shared" si="1"/>
        <v>5</v>
      </c>
      <c r="H10" s="190" t="s">
        <v>582</v>
      </c>
      <c r="I10" s="192">
        <v>40</v>
      </c>
      <c r="J10" s="190">
        <f>10.8/2</f>
        <v>5.4</v>
      </c>
      <c r="K10" s="190">
        <f>J10</f>
        <v>5.4</v>
      </c>
      <c r="L10" s="190" t="s">
        <v>318</v>
      </c>
      <c r="M10" s="190" t="str">
        <f t="shared" si="0"/>
        <v>bitumiczna</v>
      </c>
      <c r="N10" s="190">
        <f>G10*E10</f>
        <v>7.5</v>
      </c>
      <c r="O10" s="190"/>
      <c r="P10" s="190" t="s">
        <v>34</v>
      </c>
      <c r="Q10" s="190" t="s">
        <v>360</v>
      </c>
      <c r="R10" s="190">
        <v>1.5</v>
      </c>
      <c r="S10" s="190">
        <v>5</v>
      </c>
      <c r="T10" s="190">
        <v>1.5</v>
      </c>
      <c r="U10" s="190">
        <f t="shared" ref="U10:U23" si="2">R10*S10</f>
        <v>7.5</v>
      </c>
      <c r="V10" s="190" t="s">
        <v>34</v>
      </c>
      <c r="W10" s="190">
        <f t="shared" ref="W10:W23" si="3">U10</f>
        <v>7.5</v>
      </c>
      <c r="X10" s="190" t="e">
        <f>U10+V10*1.32</f>
        <v>#VALUE!</v>
      </c>
      <c r="Y10" s="190" t="e">
        <f>V10*1.12</f>
        <v>#VALUE!</v>
      </c>
      <c r="Z10" s="190">
        <f>3*1</f>
        <v>3</v>
      </c>
      <c r="AA10" s="190"/>
      <c r="AB10" s="190"/>
      <c r="AC10" s="190"/>
      <c r="AD10" s="190"/>
      <c r="AE10" s="190"/>
      <c r="AF10" s="253"/>
    </row>
    <row r="11" spans="1:32" s="241" customFormat="1" ht="42.75" hidden="1" customHeight="1">
      <c r="A11" s="1056"/>
      <c r="B11" s="187" t="s">
        <v>587</v>
      </c>
      <c r="C11" s="190" t="s">
        <v>378</v>
      </c>
      <c r="D11" s="190" t="s">
        <v>317</v>
      </c>
      <c r="E11" s="190">
        <v>1.5</v>
      </c>
      <c r="F11" s="190">
        <v>5</v>
      </c>
      <c r="G11" s="190">
        <f t="shared" si="1"/>
        <v>5</v>
      </c>
      <c r="H11" s="190" t="s">
        <v>582</v>
      </c>
      <c r="I11" s="192" t="s">
        <v>360</v>
      </c>
      <c r="J11" s="190" t="s">
        <v>360</v>
      </c>
      <c r="K11" s="190" t="s">
        <v>360</v>
      </c>
      <c r="L11" s="190" t="s">
        <v>360</v>
      </c>
      <c r="M11" s="190" t="str">
        <f t="shared" si="0"/>
        <v>bitumiczna</v>
      </c>
      <c r="N11" s="190">
        <f>G11*E11</f>
        <v>7.5</v>
      </c>
      <c r="O11" s="190"/>
      <c r="P11" s="190" t="s">
        <v>34</v>
      </c>
      <c r="Q11" s="190" t="s">
        <v>360</v>
      </c>
      <c r="R11" s="190">
        <v>1.5</v>
      </c>
      <c r="S11" s="190">
        <v>5</v>
      </c>
      <c r="T11" s="190">
        <v>1.5</v>
      </c>
      <c r="U11" s="190">
        <f t="shared" si="2"/>
        <v>7.5</v>
      </c>
      <c r="V11" s="190" t="s">
        <v>34</v>
      </c>
      <c r="W11" s="190">
        <f t="shared" si="3"/>
        <v>7.5</v>
      </c>
      <c r="X11" s="190" t="e">
        <f>U11+V11*1.32</f>
        <v>#VALUE!</v>
      </c>
      <c r="Y11" s="190" t="e">
        <f>V11*1.12</f>
        <v>#VALUE!</v>
      </c>
      <c r="Z11" s="190">
        <f>3*1</f>
        <v>3</v>
      </c>
      <c r="AA11" s="190"/>
      <c r="AB11" s="190"/>
      <c r="AC11" s="190"/>
      <c r="AD11" s="190"/>
      <c r="AE11" s="190"/>
      <c r="AF11" s="253"/>
    </row>
    <row r="12" spans="1:32" s="241" customFormat="1" ht="42.75" hidden="1" customHeight="1">
      <c r="A12" s="1056"/>
      <c r="B12" s="187" t="s">
        <v>588</v>
      </c>
      <c r="C12" s="190" t="s">
        <v>380</v>
      </c>
      <c r="D12" s="190" t="s">
        <v>317</v>
      </c>
      <c r="E12" s="190">
        <v>1.5</v>
      </c>
      <c r="F12" s="190">
        <v>4</v>
      </c>
      <c r="G12" s="190">
        <f t="shared" si="1"/>
        <v>4</v>
      </c>
      <c r="H12" s="190" t="s">
        <v>582</v>
      </c>
      <c r="I12" s="192">
        <v>40</v>
      </c>
      <c r="J12" s="190">
        <v>5.5</v>
      </c>
      <c r="K12" s="190">
        <v>5.5</v>
      </c>
      <c r="L12" s="190" t="s">
        <v>318</v>
      </c>
      <c r="M12" s="190" t="str">
        <f t="shared" si="0"/>
        <v>bitumiczna</v>
      </c>
      <c r="N12" s="190">
        <f t="shared" ref="N12:N24" si="4">E12*F12</f>
        <v>6</v>
      </c>
      <c r="O12" s="190"/>
      <c r="P12" s="190" t="s">
        <v>360</v>
      </c>
      <c r="Q12" s="190">
        <f>2*0.15*4.5*1.2</f>
        <v>1.62</v>
      </c>
      <c r="R12" s="190">
        <v>1.5</v>
      </c>
      <c r="S12" s="190">
        <v>4.5</v>
      </c>
      <c r="T12" s="190">
        <v>1.5</v>
      </c>
      <c r="U12" s="190">
        <f t="shared" si="2"/>
        <v>6.75</v>
      </c>
      <c r="V12" s="190" t="s">
        <v>34</v>
      </c>
      <c r="W12" s="190">
        <f t="shared" si="3"/>
        <v>6.75</v>
      </c>
      <c r="X12" s="190" t="e">
        <f>U12+V12*1.32</f>
        <v>#VALUE!</v>
      </c>
      <c r="Y12" s="190" t="e">
        <f>V12*1.12</f>
        <v>#VALUE!</v>
      </c>
      <c r="Z12" s="190">
        <f>2.5</f>
        <v>2.5</v>
      </c>
      <c r="AA12" s="190"/>
      <c r="AB12" s="190"/>
      <c r="AC12" s="190"/>
      <c r="AD12" s="190"/>
      <c r="AE12" s="190"/>
      <c r="AF12" s="253"/>
    </row>
    <row r="13" spans="1:32" s="241" customFormat="1" ht="42.75" hidden="1" customHeight="1">
      <c r="A13" s="1056"/>
      <c r="B13" s="187" t="s">
        <v>589</v>
      </c>
      <c r="C13" s="190" t="s">
        <v>407</v>
      </c>
      <c r="D13" s="190" t="s">
        <v>317</v>
      </c>
      <c r="E13" s="190">
        <v>1.5</v>
      </c>
      <c r="F13" s="190">
        <v>4</v>
      </c>
      <c r="G13" s="190">
        <f t="shared" si="1"/>
        <v>4</v>
      </c>
      <c r="H13" s="190" t="s">
        <v>582</v>
      </c>
      <c r="I13" s="192">
        <v>40</v>
      </c>
      <c r="J13" s="190">
        <v>5</v>
      </c>
      <c r="K13" s="190">
        <f>J13</f>
        <v>5</v>
      </c>
      <c r="L13" s="190" t="s">
        <v>318</v>
      </c>
      <c r="M13" s="190" t="str">
        <f t="shared" si="0"/>
        <v>bitumiczna</v>
      </c>
      <c r="N13" s="190">
        <f t="shared" si="4"/>
        <v>6</v>
      </c>
      <c r="O13" s="190"/>
      <c r="P13" s="190" t="s">
        <v>34</v>
      </c>
      <c r="Q13" s="190">
        <f>2*0.2*4.5*1.2</f>
        <v>2.16</v>
      </c>
      <c r="R13" s="190">
        <v>1.5</v>
      </c>
      <c r="S13" s="190">
        <v>4.5</v>
      </c>
      <c r="T13" s="190"/>
      <c r="U13" s="190">
        <f t="shared" si="2"/>
        <v>6.75</v>
      </c>
      <c r="V13" s="190" t="s">
        <v>34</v>
      </c>
      <c r="W13" s="190">
        <f t="shared" si="3"/>
        <v>6.75</v>
      </c>
      <c r="X13" s="190" t="e">
        <f>U13+V13*1.32</f>
        <v>#VALUE!</v>
      </c>
      <c r="Y13" s="190" t="e">
        <f>V13*1.12</f>
        <v>#VALUE!</v>
      </c>
      <c r="Z13" s="190">
        <f>3</f>
        <v>3</v>
      </c>
      <c r="AA13" s="190"/>
      <c r="AB13" s="190"/>
      <c r="AC13" s="190"/>
      <c r="AD13" s="190"/>
      <c r="AE13" s="190"/>
      <c r="AF13" s="253"/>
    </row>
    <row r="14" spans="1:32" s="241" customFormat="1" ht="42.75" hidden="1" customHeight="1">
      <c r="A14" s="1056"/>
      <c r="B14" s="187" t="s">
        <v>592</v>
      </c>
      <c r="C14" s="190" t="s">
        <v>597</v>
      </c>
      <c r="D14" s="190" t="s">
        <v>590</v>
      </c>
      <c r="E14" s="190">
        <v>1.65</v>
      </c>
      <c r="F14" s="190">
        <v>8</v>
      </c>
      <c r="G14" s="190">
        <f t="shared" si="1"/>
        <v>8</v>
      </c>
      <c r="H14" s="190" t="s">
        <v>585</v>
      </c>
      <c r="I14" s="192"/>
      <c r="J14" s="190"/>
      <c r="K14" s="190"/>
      <c r="L14" s="190"/>
      <c r="M14" s="190" t="str">
        <f t="shared" si="0"/>
        <v>kostka brukowa</v>
      </c>
      <c r="N14" s="190">
        <f t="shared" si="4"/>
        <v>13.2</v>
      </c>
      <c r="O14" s="190"/>
      <c r="P14" s="190" t="s">
        <v>34</v>
      </c>
      <c r="Q14" s="190"/>
      <c r="R14" s="190">
        <v>1.65</v>
      </c>
      <c r="S14" s="190">
        <v>15</v>
      </c>
      <c r="T14" s="190"/>
      <c r="U14" s="190">
        <f t="shared" si="2"/>
        <v>24.75</v>
      </c>
      <c r="V14" s="190" t="s">
        <v>34</v>
      </c>
      <c r="W14" s="190">
        <f t="shared" si="3"/>
        <v>24.75</v>
      </c>
      <c r="X14" s="190" t="e">
        <f>U14+V14*1.32</f>
        <v>#VALUE!</v>
      </c>
      <c r="Y14" s="190" t="e">
        <f>V14*1.12</f>
        <v>#VALUE!</v>
      </c>
      <c r="Z14" s="190"/>
      <c r="AA14" s="190"/>
      <c r="AB14" s="190"/>
      <c r="AC14" s="190"/>
      <c r="AD14" s="190"/>
      <c r="AE14" s="190"/>
      <c r="AF14" s="253" t="s">
        <v>595</v>
      </c>
    </row>
    <row r="15" spans="1:32" s="241" customFormat="1" ht="42.75" hidden="1" customHeight="1">
      <c r="A15" s="1056"/>
      <c r="B15" s="187" t="s">
        <v>593</v>
      </c>
      <c r="C15" s="190" t="s">
        <v>598</v>
      </c>
      <c r="D15" s="190" t="s">
        <v>590</v>
      </c>
      <c r="E15" s="190">
        <v>1.65</v>
      </c>
      <c r="F15" s="190">
        <v>5</v>
      </c>
      <c r="G15" s="190">
        <f t="shared" si="1"/>
        <v>5</v>
      </c>
      <c r="H15" s="190" t="s">
        <v>582</v>
      </c>
      <c r="I15" s="192"/>
      <c r="J15" s="190"/>
      <c r="K15" s="190"/>
      <c r="L15" s="190"/>
      <c r="M15" s="190" t="str">
        <f t="shared" si="0"/>
        <v>bitumiczna</v>
      </c>
      <c r="N15" s="190">
        <f t="shared" si="4"/>
        <v>8.25</v>
      </c>
      <c r="O15" s="190"/>
      <c r="P15" s="190" t="s">
        <v>34</v>
      </c>
      <c r="Q15" s="190"/>
      <c r="R15" s="190">
        <v>1.65</v>
      </c>
      <c r="S15" s="190">
        <v>5</v>
      </c>
      <c r="T15" s="190"/>
      <c r="U15" s="190">
        <f t="shared" si="2"/>
        <v>8.25</v>
      </c>
      <c r="V15" s="190" t="s">
        <v>34</v>
      </c>
      <c r="W15" s="190">
        <f t="shared" si="3"/>
        <v>8.25</v>
      </c>
      <c r="X15" s="190"/>
      <c r="Y15" s="190"/>
      <c r="Z15" s="190"/>
      <c r="AA15" s="190"/>
      <c r="AB15" s="190"/>
      <c r="AC15" s="190"/>
      <c r="AD15" s="190"/>
      <c r="AE15" s="190"/>
      <c r="AF15" s="253"/>
    </row>
    <row r="16" spans="1:32" s="241" customFormat="1" ht="42.75" hidden="1" customHeight="1">
      <c r="A16" s="1056"/>
      <c r="B16" s="187" t="s">
        <v>591</v>
      </c>
      <c r="C16" s="190" t="s">
        <v>389</v>
      </c>
      <c r="D16" s="190" t="s">
        <v>317</v>
      </c>
      <c r="E16" s="190">
        <v>2</v>
      </c>
      <c r="F16" s="190">
        <v>3</v>
      </c>
      <c r="G16" s="190">
        <f t="shared" si="1"/>
        <v>3</v>
      </c>
      <c r="H16" s="190" t="s">
        <v>582</v>
      </c>
      <c r="I16" s="192"/>
      <c r="J16" s="190"/>
      <c r="K16" s="190"/>
      <c r="L16" s="190"/>
      <c r="M16" s="190" t="str">
        <f t="shared" ref="M16:M24" si="5">H16</f>
        <v>bitumiczna</v>
      </c>
      <c r="N16" s="190">
        <f t="shared" si="4"/>
        <v>6</v>
      </c>
      <c r="O16" s="190"/>
      <c r="P16" s="190" t="s">
        <v>34</v>
      </c>
      <c r="Q16" s="190"/>
      <c r="R16" s="190">
        <v>1.65</v>
      </c>
      <c r="S16" s="190">
        <v>4.5</v>
      </c>
      <c r="T16" s="190"/>
      <c r="U16" s="190">
        <f t="shared" si="2"/>
        <v>7.43</v>
      </c>
      <c r="V16" s="190" t="s">
        <v>34</v>
      </c>
      <c r="W16" s="190">
        <f t="shared" si="3"/>
        <v>7.43</v>
      </c>
      <c r="X16" s="190"/>
      <c r="Y16" s="190"/>
      <c r="Z16" s="190"/>
      <c r="AA16" s="190"/>
      <c r="AB16" s="190"/>
      <c r="AC16" s="190"/>
      <c r="AD16" s="190"/>
      <c r="AE16" s="190"/>
      <c r="AF16" s="253"/>
    </row>
    <row r="17" spans="1:32" s="241" customFormat="1" ht="42.75" hidden="1" customHeight="1">
      <c r="A17" s="1056"/>
      <c r="B17" s="187" t="s">
        <v>594</v>
      </c>
      <c r="C17" s="190" t="s">
        <v>390</v>
      </c>
      <c r="D17" s="190" t="s">
        <v>317</v>
      </c>
      <c r="E17" s="190">
        <v>2</v>
      </c>
      <c r="F17" s="190">
        <v>4.5</v>
      </c>
      <c r="G17" s="190">
        <f t="shared" si="1"/>
        <v>4.5</v>
      </c>
      <c r="H17" s="190" t="s">
        <v>582</v>
      </c>
      <c r="I17" s="192"/>
      <c r="J17" s="190"/>
      <c r="K17" s="190"/>
      <c r="L17" s="190"/>
      <c r="M17" s="190" t="str">
        <f t="shared" si="5"/>
        <v>bitumiczna</v>
      </c>
      <c r="N17" s="190">
        <f t="shared" si="4"/>
        <v>9</v>
      </c>
      <c r="O17" s="190"/>
      <c r="P17" s="190" t="s">
        <v>34</v>
      </c>
      <c r="Q17" s="190"/>
      <c r="R17" s="190">
        <v>2</v>
      </c>
      <c r="S17" s="190">
        <v>4.5</v>
      </c>
      <c r="T17" s="190"/>
      <c r="U17" s="190">
        <f t="shared" si="2"/>
        <v>9</v>
      </c>
      <c r="V17" s="190" t="s">
        <v>34</v>
      </c>
      <c r="W17" s="190">
        <f t="shared" si="3"/>
        <v>9</v>
      </c>
      <c r="X17" s="190"/>
      <c r="Y17" s="190"/>
      <c r="Z17" s="190"/>
      <c r="AA17" s="190"/>
      <c r="AB17" s="190"/>
      <c r="AC17" s="190"/>
      <c r="AD17" s="190"/>
      <c r="AE17" s="190"/>
      <c r="AF17" s="253"/>
    </row>
    <row r="18" spans="1:32" s="241" customFormat="1" ht="42.75" hidden="1" customHeight="1">
      <c r="A18" s="1056"/>
      <c r="B18" s="187" t="s">
        <v>596</v>
      </c>
      <c r="C18" s="190" t="s">
        <v>689</v>
      </c>
      <c r="D18" s="190" t="s">
        <v>317</v>
      </c>
      <c r="E18" s="190">
        <v>2.8</v>
      </c>
      <c r="F18" s="190">
        <v>5</v>
      </c>
      <c r="G18" s="190">
        <f t="shared" si="1"/>
        <v>5</v>
      </c>
      <c r="H18" s="190" t="s">
        <v>582</v>
      </c>
      <c r="I18" s="192"/>
      <c r="J18" s="190"/>
      <c r="K18" s="190"/>
      <c r="L18" s="190"/>
      <c r="M18" s="190" t="str">
        <f t="shared" si="5"/>
        <v>bitumiczna</v>
      </c>
      <c r="N18" s="190">
        <f t="shared" si="4"/>
        <v>14</v>
      </c>
      <c r="O18" s="190"/>
      <c r="P18" s="190" t="s">
        <v>34</v>
      </c>
      <c r="Q18" s="190"/>
      <c r="R18" s="190">
        <v>2</v>
      </c>
      <c r="S18" s="190">
        <v>5</v>
      </c>
      <c r="T18" s="190"/>
      <c r="U18" s="190">
        <f t="shared" si="2"/>
        <v>10</v>
      </c>
      <c r="V18" s="190" t="s">
        <v>34</v>
      </c>
      <c r="W18" s="190">
        <f t="shared" si="3"/>
        <v>10</v>
      </c>
      <c r="X18" s="190"/>
      <c r="Y18" s="190"/>
      <c r="Z18" s="190"/>
      <c r="AA18" s="190"/>
      <c r="AB18" s="190"/>
      <c r="AC18" s="190"/>
      <c r="AD18" s="190"/>
      <c r="AE18" s="190"/>
      <c r="AF18" s="253"/>
    </row>
    <row r="19" spans="1:32" s="241" customFormat="1" ht="42.75" hidden="1" customHeight="1">
      <c r="A19" s="1057"/>
      <c r="B19" s="433" t="s">
        <v>599</v>
      </c>
      <c r="C19" s="434" t="s">
        <v>396</v>
      </c>
      <c r="D19" s="434" t="s">
        <v>317</v>
      </c>
      <c r="E19" s="434">
        <v>2</v>
      </c>
      <c r="F19" s="434">
        <v>4.5</v>
      </c>
      <c r="G19" s="190">
        <f t="shared" si="1"/>
        <v>4.5</v>
      </c>
      <c r="H19" s="190" t="s">
        <v>582</v>
      </c>
      <c r="I19" s="192"/>
      <c r="J19" s="190"/>
      <c r="K19" s="190"/>
      <c r="L19" s="190"/>
      <c r="M19" s="190" t="str">
        <f t="shared" si="5"/>
        <v>bitumiczna</v>
      </c>
      <c r="N19" s="190">
        <f t="shared" si="4"/>
        <v>9</v>
      </c>
      <c r="O19" s="190"/>
      <c r="P19" s="190" t="s">
        <v>34</v>
      </c>
      <c r="Q19" s="190"/>
      <c r="R19" s="190">
        <v>2</v>
      </c>
      <c r="S19" s="190">
        <v>4.5</v>
      </c>
      <c r="T19" s="190"/>
      <c r="U19" s="190">
        <f t="shared" si="2"/>
        <v>9</v>
      </c>
      <c r="V19" s="190" t="s">
        <v>34</v>
      </c>
      <c r="W19" s="190">
        <f t="shared" si="3"/>
        <v>9</v>
      </c>
      <c r="X19" s="190"/>
      <c r="Y19" s="190"/>
      <c r="Z19" s="190"/>
      <c r="AA19" s="190"/>
      <c r="AB19" s="190"/>
      <c r="AC19" s="190"/>
      <c r="AD19" s="190"/>
      <c r="AE19" s="190"/>
      <c r="AF19" s="253"/>
    </row>
    <row r="20" spans="1:32" s="241" customFormat="1" ht="42.75" hidden="1" customHeight="1">
      <c r="A20" s="1057"/>
      <c r="B20" s="435" t="s">
        <v>600</v>
      </c>
      <c r="C20" s="434" t="s">
        <v>398</v>
      </c>
      <c r="D20" s="434" t="s">
        <v>317</v>
      </c>
      <c r="E20" s="434">
        <v>2</v>
      </c>
      <c r="F20" s="434">
        <v>5</v>
      </c>
      <c r="G20" s="190">
        <f t="shared" si="1"/>
        <v>5</v>
      </c>
      <c r="H20" s="190" t="s">
        <v>582</v>
      </c>
      <c r="I20" s="192"/>
      <c r="J20" s="190"/>
      <c r="K20" s="190"/>
      <c r="L20" s="190"/>
      <c r="M20" s="190" t="str">
        <f t="shared" si="5"/>
        <v>bitumiczna</v>
      </c>
      <c r="N20" s="190">
        <f t="shared" si="4"/>
        <v>10</v>
      </c>
      <c r="O20" s="190"/>
      <c r="P20" s="190" t="s">
        <v>34</v>
      </c>
      <c r="Q20" s="190"/>
      <c r="R20" s="190">
        <v>2</v>
      </c>
      <c r="S20" s="190">
        <v>5</v>
      </c>
      <c r="T20" s="190"/>
      <c r="U20" s="190">
        <f t="shared" si="2"/>
        <v>10</v>
      </c>
      <c r="V20" s="190" t="s">
        <v>34</v>
      </c>
      <c r="W20" s="190">
        <f t="shared" si="3"/>
        <v>10</v>
      </c>
      <c r="X20" s="190"/>
      <c r="Y20" s="190"/>
      <c r="Z20" s="190"/>
      <c r="AA20" s="190"/>
      <c r="AB20" s="190"/>
      <c r="AC20" s="190"/>
      <c r="AD20" s="190"/>
      <c r="AE20" s="190"/>
      <c r="AF20" s="253"/>
    </row>
    <row r="21" spans="1:32" s="241" customFormat="1" ht="42.75" hidden="1" customHeight="1">
      <c r="A21" s="1057"/>
      <c r="B21" s="433" t="s">
        <v>601</v>
      </c>
      <c r="C21" s="434" t="s">
        <v>399</v>
      </c>
      <c r="D21" s="434" t="s">
        <v>590</v>
      </c>
      <c r="E21" s="434">
        <v>2</v>
      </c>
      <c r="F21" s="434">
        <v>4</v>
      </c>
      <c r="G21" s="190">
        <f t="shared" si="1"/>
        <v>4</v>
      </c>
      <c r="H21" s="190" t="s">
        <v>585</v>
      </c>
      <c r="I21" s="192"/>
      <c r="J21" s="190"/>
      <c r="K21" s="190"/>
      <c r="L21" s="190"/>
      <c r="M21" s="190" t="str">
        <f t="shared" si="5"/>
        <v>kostka brukowa</v>
      </c>
      <c r="N21" s="190">
        <f t="shared" si="4"/>
        <v>8</v>
      </c>
      <c r="O21" s="190"/>
      <c r="P21" s="190" t="s">
        <v>34</v>
      </c>
      <c r="Q21" s="190"/>
      <c r="R21" s="190">
        <v>2</v>
      </c>
      <c r="S21" s="190">
        <v>4.5</v>
      </c>
      <c r="T21" s="190"/>
      <c r="U21" s="190">
        <f t="shared" si="2"/>
        <v>9</v>
      </c>
      <c r="V21" s="190" t="s">
        <v>34</v>
      </c>
      <c r="W21" s="190">
        <f t="shared" si="3"/>
        <v>9</v>
      </c>
      <c r="X21" s="190"/>
      <c r="Y21" s="190"/>
      <c r="Z21" s="190"/>
      <c r="AA21" s="190"/>
      <c r="AB21" s="190"/>
      <c r="AC21" s="190"/>
      <c r="AD21" s="190"/>
      <c r="AE21" s="190"/>
      <c r="AF21" s="253"/>
    </row>
    <row r="22" spans="1:32" s="241" customFormat="1" ht="42.75" hidden="1" customHeight="1">
      <c r="A22" s="1057"/>
      <c r="B22" s="433" t="s">
        <v>602</v>
      </c>
      <c r="C22" s="434" t="s">
        <v>603</v>
      </c>
      <c r="D22" s="434" t="s">
        <v>590</v>
      </c>
      <c r="E22" s="434">
        <v>2</v>
      </c>
      <c r="F22" s="434">
        <v>4</v>
      </c>
      <c r="G22" s="190">
        <f t="shared" si="1"/>
        <v>4</v>
      </c>
      <c r="H22" s="190" t="s">
        <v>585</v>
      </c>
      <c r="I22" s="192"/>
      <c r="J22" s="190"/>
      <c r="K22" s="190"/>
      <c r="L22" s="190"/>
      <c r="M22" s="190" t="str">
        <f t="shared" si="5"/>
        <v>kostka brukowa</v>
      </c>
      <c r="N22" s="190">
        <f t="shared" si="4"/>
        <v>8</v>
      </c>
      <c r="O22" s="190"/>
      <c r="P22" s="190" t="s">
        <v>34</v>
      </c>
      <c r="Q22" s="190"/>
      <c r="R22" s="190">
        <v>2</v>
      </c>
      <c r="S22" s="190">
        <v>4.5</v>
      </c>
      <c r="T22" s="190"/>
      <c r="U22" s="190">
        <f t="shared" si="2"/>
        <v>9</v>
      </c>
      <c r="V22" s="190" t="s">
        <v>34</v>
      </c>
      <c r="W22" s="190">
        <f t="shared" si="3"/>
        <v>9</v>
      </c>
      <c r="X22" s="190"/>
      <c r="Y22" s="190"/>
      <c r="Z22" s="190"/>
      <c r="AA22" s="190"/>
      <c r="AB22" s="190"/>
      <c r="AC22" s="190"/>
      <c r="AD22" s="190"/>
      <c r="AE22" s="190"/>
      <c r="AF22" s="253"/>
    </row>
    <row r="23" spans="1:32" s="241" customFormat="1" ht="42.75" hidden="1" customHeight="1">
      <c r="A23" s="1057"/>
      <c r="B23" s="433" t="s">
        <v>604</v>
      </c>
      <c r="C23" s="434" t="s">
        <v>605</v>
      </c>
      <c r="D23" s="434" t="s">
        <v>606</v>
      </c>
      <c r="E23" s="434">
        <v>2</v>
      </c>
      <c r="F23" s="434">
        <v>3.5</v>
      </c>
      <c r="G23" s="190">
        <f t="shared" si="1"/>
        <v>3.5</v>
      </c>
      <c r="H23" s="190" t="s">
        <v>582</v>
      </c>
      <c r="I23" s="192"/>
      <c r="J23" s="190"/>
      <c r="K23" s="190"/>
      <c r="L23" s="190"/>
      <c r="M23" s="190" t="str">
        <f t="shared" si="5"/>
        <v>bitumiczna</v>
      </c>
      <c r="N23" s="190">
        <f t="shared" si="4"/>
        <v>7</v>
      </c>
      <c r="O23" s="190"/>
      <c r="P23" s="190" t="s">
        <v>34</v>
      </c>
      <c r="Q23" s="190"/>
      <c r="R23" s="190">
        <v>2</v>
      </c>
      <c r="S23" s="190">
        <v>4.5</v>
      </c>
      <c r="T23" s="190"/>
      <c r="U23" s="190">
        <f t="shared" si="2"/>
        <v>9</v>
      </c>
      <c r="V23" s="190" t="s">
        <v>34</v>
      </c>
      <c r="W23" s="190">
        <f t="shared" si="3"/>
        <v>9</v>
      </c>
      <c r="X23" s="190"/>
      <c r="Y23" s="190"/>
      <c r="Z23" s="190"/>
      <c r="AA23" s="190"/>
      <c r="AB23" s="190"/>
      <c r="AC23" s="190"/>
      <c r="AD23" s="190"/>
      <c r="AE23" s="190"/>
      <c r="AF23" s="253"/>
    </row>
    <row r="24" spans="1:32" s="241" customFormat="1" ht="42.75" hidden="1" customHeight="1">
      <c r="A24" s="1058"/>
      <c r="B24" s="187" t="s">
        <v>607</v>
      </c>
      <c r="C24" s="190" t="s">
        <v>608</v>
      </c>
      <c r="D24" s="190" t="s">
        <v>609</v>
      </c>
      <c r="E24" s="190">
        <v>1.9</v>
      </c>
      <c r="F24" s="190">
        <v>7</v>
      </c>
      <c r="G24" s="190">
        <f t="shared" si="1"/>
        <v>7</v>
      </c>
      <c r="H24" s="190" t="s">
        <v>582</v>
      </c>
      <c r="I24" s="192"/>
      <c r="J24" s="190"/>
      <c r="K24" s="190"/>
      <c r="L24" s="190"/>
      <c r="M24" s="190" t="str">
        <f t="shared" si="5"/>
        <v>bitumiczna</v>
      </c>
      <c r="N24" s="190">
        <f t="shared" si="4"/>
        <v>13.3</v>
      </c>
      <c r="O24" s="190"/>
      <c r="P24" s="190" t="s">
        <v>34</v>
      </c>
      <c r="Q24" s="190"/>
      <c r="R24" s="190">
        <v>2</v>
      </c>
      <c r="S24" s="190">
        <v>7</v>
      </c>
      <c r="T24" s="190"/>
      <c r="U24" s="193" t="s">
        <v>34</v>
      </c>
      <c r="V24" s="190">
        <f>R24*S24</f>
        <v>14</v>
      </c>
      <c r="W24" s="190">
        <f>V24</f>
        <v>14</v>
      </c>
      <c r="X24" s="190"/>
      <c r="Y24" s="190"/>
      <c r="Z24" s="190"/>
      <c r="AA24" s="190"/>
      <c r="AB24" s="190"/>
      <c r="AC24" s="190"/>
      <c r="AD24" s="190"/>
      <c r="AE24" s="190"/>
      <c r="AF24" s="253"/>
    </row>
    <row r="25" spans="1:32" s="241" customFormat="1" ht="13.5" customHeight="1">
      <c r="A25" s="354" t="s">
        <v>34</v>
      </c>
      <c r="B25" s="240" t="s">
        <v>34</v>
      </c>
      <c r="C25" s="1042" t="s">
        <v>34</v>
      </c>
      <c r="D25" s="1042" t="s">
        <v>34</v>
      </c>
      <c r="E25" s="240" t="s">
        <v>34</v>
      </c>
      <c r="F25" s="409" t="s">
        <v>34</v>
      </c>
      <c r="G25" s="240" t="s">
        <v>34</v>
      </c>
      <c r="H25" s="240" t="s">
        <v>34</v>
      </c>
      <c r="I25" s="194" t="s">
        <v>34</v>
      </c>
      <c r="J25" s="240">
        <f>J5+J8</f>
        <v>15.8</v>
      </c>
      <c r="K25" s="240">
        <f>K5+K8</f>
        <v>15.8</v>
      </c>
      <c r="L25" s="194" t="s">
        <v>34</v>
      </c>
      <c r="M25" s="240" t="s">
        <v>34</v>
      </c>
      <c r="N25" s="240" t="s">
        <v>34</v>
      </c>
      <c r="O25" s="190"/>
      <c r="P25" s="240" t="s">
        <v>34</v>
      </c>
      <c r="Q25" s="240">
        <f>SUM(Q5:Q13)</f>
        <v>6.64</v>
      </c>
      <c r="R25" s="240" t="s">
        <v>34</v>
      </c>
      <c r="S25" s="240" t="s">
        <v>34</v>
      </c>
      <c r="T25" s="240"/>
      <c r="U25" s="240">
        <f>U7+U9</f>
        <v>24.79</v>
      </c>
      <c r="V25" s="240">
        <f>V8+V5</f>
        <v>43.7</v>
      </c>
      <c r="W25" s="240">
        <f>SUM(W5:W24)</f>
        <v>202.11</v>
      </c>
      <c r="X25" s="240" t="e">
        <f>SUM(X5:X14)</f>
        <v>#VALUE!</v>
      </c>
      <c r="Y25" s="240" t="e">
        <f>SUM(Y5:Y14)</f>
        <v>#VALUE!</v>
      </c>
      <c r="Z25" s="240">
        <f>SUM(Z5:Z13)</f>
        <v>25.9</v>
      </c>
      <c r="AA25" s="240" t="s">
        <v>360</v>
      </c>
      <c r="AB25" s="240"/>
      <c r="AC25" s="240"/>
      <c r="AD25" s="240"/>
      <c r="AE25" s="240"/>
      <c r="AF25" s="254" t="s">
        <v>34</v>
      </c>
    </row>
    <row r="26" spans="1:32" s="241" customFormat="1" ht="27.75" customHeight="1">
      <c r="A26" s="370"/>
      <c r="B26" s="371"/>
      <c r="C26" s="356"/>
      <c r="D26" s="356"/>
      <c r="E26" s="436"/>
      <c r="F26" s="356"/>
      <c r="I26" s="358"/>
      <c r="J26" s="358"/>
      <c r="K26" s="359"/>
      <c r="L26" s="1043" t="s">
        <v>611</v>
      </c>
      <c r="M26" s="1044"/>
      <c r="N26" s="240">
        <f>N5+N7+N8+N9</f>
        <v>66.52</v>
      </c>
      <c r="O26" s="238"/>
      <c r="P26" s="355"/>
      <c r="Q26" s="356"/>
      <c r="R26" s="1043" t="s">
        <v>612</v>
      </c>
      <c r="S26" s="1044"/>
      <c r="T26" s="367"/>
      <c r="U26" s="1042">
        <f>V25</f>
        <v>43.7</v>
      </c>
      <c r="V26" s="1042"/>
      <c r="W26" s="367"/>
      <c r="X26" s="368"/>
      <c r="Y26" s="356"/>
      <c r="Z26" s="356"/>
      <c r="AA26" s="356"/>
      <c r="AB26" s="356"/>
      <c r="AC26" s="356"/>
      <c r="AD26" s="356"/>
      <c r="AE26" s="356"/>
      <c r="AF26" s="356"/>
    </row>
    <row r="27" spans="1:32" s="241" customFormat="1" ht="16.5" hidden="1" customHeight="1">
      <c r="A27" s="372"/>
      <c r="B27" s="369"/>
      <c r="C27" s="358"/>
      <c r="D27" s="358"/>
      <c r="E27" s="358"/>
      <c r="F27" s="358"/>
      <c r="G27" s="362"/>
      <c r="H27" s="429"/>
      <c r="I27" s="429"/>
      <c r="J27" s="429"/>
      <c r="K27" s="430"/>
      <c r="L27" s="365"/>
      <c r="M27" s="363"/>
      <c r="N27" s="240">
        <v>0</v>
      </c>
      <c r="O27" s="238"/>
      <c r="P27" s="357"/>
      <c r="Q27" s="358"/>
      <c r="R27" s="374"/>
      <c r="S27" s="365"/>
      <c r="T27" s="373"/>
      <c r="U27" s="240">
        <v>0</v>
      </c>
      <c r="V27" s="365"/>
      <c r="W27" s="373"/>
      <c r="X27" s="363"/>
      <c r="Y27" s="358"/>
      <c r="Z27" s="358"/>
      <c r="AA27" s="358"/>
      <c r="AB27" s="358"/>
      <c r="AC27" s="358"/>
      <c r="AD27" s="358"/>
      <c r="AE27" s="358"/>
      <c r="AF27" s="358"/>
    </row>
    <row r="28" spans="1:32" s="241" customFormat="1" ht="28.5" customHeight="1">
      <c r="A28" s="372"/>
      <c r="B28" s="369"/>
      <c r="C28" s="358"/>
      <c r="D28" s="358"/>
      <c r="E28" s="358"/>
      <c r="F28" s="358"/>
      <c r="I28" s="358"/>
      <c r="J28" s="358"/>
      <c r="K28" s="359"/>
      <c r="L28" s="1043" t="s">
        <v>686</v>
      </c>
      <c r="M28" s="1044"/>
      <c r="N28" s="240">
        <v>23.1</v>
      </c>
      <c r="O28" s="238"/>
      <c r="P28" s="357"/>
      <c r="Q28" s="358"/>
      <c r="R28" s="1043" t="s">
        <v>613</v>
      </c>
      <c r="S28" s="1044"/>
      <c r="T28" s="367"/>
      <c r="U28" s="1042">
        <f>U25</f>
        <v>24.79</v>
      </c>
      <c r="V28" s="1042"/>
      <c r="W28" s="367"/>
      <c r="X28" s="368"/>
      <c r="Y28" s="358"/>
      <c r="Z28" s="358"/>
      <c r="AA28" s="358"/>
      <c r="AB28" s="358"/>
      <c r="AC28" s="358"/>
      <c r="AD28" s="358"/>
      <c r="AE28" s="358"/>
      <c r="AF28" s="358"/>
    </row>
    <row r="29" spans="1:32" s="241" customFormat="1" ht="15" hidden="1" customHeight="1">
      <c r="A29" s="353"/>
      <c r="B29" s="351"/>
      <c r="C29" s="357"/>
      <c r="D29" s="358"/>
      <c r="E29" s="358"/>
      <c r="F29" s="358"/>
      <c r="G29" s="358"/>
      <c r="H29" s="358"/>
      <c r="I29" s="358"/>
      <c r="J29" s="358"/>
      <c r="K29" s="358"/>
      <c r="L29" s="359"/>
      <c r="M29" s="364"/>
      <c r="N29" s="240"/>
      <c r="O29" s="238"/>
      <c r="P29" s="360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6"/>
    </row>
    <row r="30" spans="1:32" s="241" customFormat="1" ht="16.5" hidden="1" customHeight="1">
      <c r="A30" s="255"/>
      <c r="B30" s="176"/>
      <c r="C30" s="238"/>
      <c r="D30" s="238"/>
      <c r="E30" s="238"/>
      <c r="F30" s="412"/>
      <c r="G30" s="238"/>
      <c r="H30" s="238"/>
      <c r="I30" s="243"/>
      <c r="J30" s="238"/>
      <c r="K30" s="238"/>
      <c r="L30" s="238"/>
      <c r="M30" s="194" t="s">
        <v>63</v>
      </c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56"/>
    </row>
    <row r="31" spans="1:32" ht="54" customHeight="1">
      <c r="C31" s="407"/>
      <c r="E31" s="410"/>
      <c r="K31" s="437"/>
    </row>
    <row r="32" spans="1:32" ht="48" customHeight="1">
      <c r="C32" s="407"/>
      <c r="K32" s="241"/>
      <c r="L32" s="241"/>
      <c r="M32" s="241"/>
    </row>
    <row r="36" spans="1:30" ht="15.75">
      <c r="A36" s="241"/>
      <c r="B36" s="241"/>
      <c r="C36" s="419" t="s">
        <v>319</v>
      </c>
      <c r="D36" s="419"/>
      <c r="E36" s="419"/>
      <c r="F36" s="419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</row>
    <row r="37" spans="1:30">
      <c r="A37" s="241"/>
      <c r="B37" s="241"/>
      <c r="C37" s="241"/>
      <c r="D37" s="241"/>
      <c r="E37" s="241"/>
      <c r="F37" s="241"/>
    </row>
    <row r="38" spans="1:30" ht="27" customHeight="1">
      <c r="A38" s="241"/>
      <c r="B38" s="241"/>
      <c r="C38" s="422" t="s">
        <v>82</v>
      </c>
      <c r="D38" s="422" t="s">
        <v>320</v>
      </c>
      <c r="E38" s="422" t="s">
        <v>321</v>
      </c>
      <c r="F38" s="423" t="s">
        <v>322</v>
      </c>
      <c r="G38" s="201" t="s">
        <v>323</v>
      </c>
    </row>
    <row r="39" spans="1:30" ht="51">
      <c r="C39" s="191" t="s">
        <v>83</v>
      </c>
      <c r="D39" s="191" t="s">
        <v>572</v>
      </c>
      <c r="E39" s="191" t="s">
        <v>9</v>
      </c>
      <c r="F39" s="424" t="s">
        <v>34</v>
      </c>
      <c r="G39" s="191">
        <v>1</v>
      </c>
    </row>
    <row r="40" spans="1:30" ht="51">
      <c r="C40" s="191" t="s">
        <v>84</v>
      </c>
      <c r="D40" s="191" t="s">
        <v>571</v>
      </c>
      <c r="E40" s="424" t="s">
        <v>9</v>
      </c>
      <c r="F40" s="191" t="s">
        <v>34</v>
      </c>
      <c r="G40" s="191">
        <v>2</v>
      </c>
    </row>
    <row r="41" spans="1:30" ht="76.5">
      <c r="C41" s="191" t="s">
        <v>85</v>
      </c>
      <c r="D41" s="191" t="s">
        <v>573</v>
      </c>
      <c r="E41" s="424" t="s">
        <v>9</v>
      </c>
      <c r="F41" s="191"/>
      <c r="G41" s="191">
        <v>2</v>
      </c>
    </row>
    <row r="42" spans="1:30">
      <c r="C42" s="196"/>
      <c r="D42" s="196"/>
      <c r="E42" s="196"/>
      <c r="F42" s="196"/>
      <c r="G42" s="196"/>
    </row>
    <row r="43" spans="1:30">
      <c r="C43" s="196"/>
      <c r="D43" s="196"/>
      <c r="E43" s="196"/>
      <c r="F43" s="196"/>
      <c r="G43" s="196"/>
    </row>
    <row r="44" spans="1:30">
      <c r="C44" s="196"/>
      <c r="D44" s="196"/>
      <c r="E44" s="196"/>
      <c r="F44" s="196"/>
      <c r="G44" s="196"/>
    </row>
    <row r="45" spans="1:30">
      <c r="C45" s="196"/>
      <c r="D45" s="196"/>
      <c r="E45" s="196"/>
      <c r="F45" s="426"/>
      <c r="G45" s="196"/>
    </row>
    <row r="46" spans="1:30">
      <c r="E46" s="410"/>
    </row>
    <row r="47" spans="1:30" ht="15.75">
      <c r="C47" s="195"/>
      <c r="D47" s="195"/>
      <c r="E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</row>
    <row r="48" spans="1:30" ht="15.75">
      <c r="F48" s="195"/>
    </row>
    <row r="49" spans="3:7" hidden="1">
      <c r="C49" s="200"/>
      <c r="D49" s="200"/>
      <c r="E49" s="200"/>
      <c r="F49" s="200"/>
      <c r="G49" s="201"/>
    </row>
    <row r="50" spans="3:7" hidden="1">
      <c r="C50" s="1061"/>
      <c r="D50" s="1061"/>
      <c r="E50" s="1064"/>
      <c r="F50" s="1067"/>
      <c r="G50" s="1068"/>
    </row>
    <row r="51" spans="3:7" hidden="1">
      <c r="C51" s="1062"/>
      <c r="D51" s="1062"/>
      <c r="E51" s="1065"/>
      <c r="F51" s="1067"/>
      <c r="G51" s="1069"/>
    </row>
    <row r="52" spans="3:7" ht="117.75" hidden="1" customHeight="1">
      <c r="C52" s="1063"/>
      <c r="D52" s="1063"/>
      <c r="E52" s="1066"/>
      <c r="F52" s="1067"/>
      <c r="G52" s="1070"/>
    </row>
    <row r="53" spans="3:7">
      <c r="F53" s="197"/>
    </row>
  </sheetData>
  <mergeCells count="23">
    <mergeCell ref="C50:C52"/>
    <mergeCell ref="D50:D52"/>
    <mergeCell ref="E50:E52"/>
    <mergeCell ref="F50:F52"/>
    <mergeCell ref="G50:G52"/>
    <mergeCell ref="C2:AD2"/>
    <mergeCell ref="M4:N4"/>
    <mergeCell ref="C25:D25"/>
    <mergeCell ref="U3:V3"/>
    <mergeCell ref="A3:H3"/>
    <mergeCell ref="K5:K6"/>
    <mergeCell ref="L5:L6"/>
    <mergeCell ref="M3:Q3"/>
    <mergeCell ref="A5:A24"/>
    <mergeCell ref="V5:V6"/>
    <mergeCell ref="J5:J6"/>
    <mergeCell ref="U26:V26"/>
    <mergeCell ref="U28:V28"/>
    <mergeCell ref="L26:M26"/>
    <mergeCell ref="L28:M28"/>
    <mergeCell ref="W3:Y3"/>
    <mergeCell ref="R26:S26"/>
    <mergeCell ref="R28:S28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8" scale="69" orientation="landscape" r:id="rId1"/>
  <headerFooter alignWithMargins="0"/>
  <rowBreaks count="2" manualBreakCount="2">
    <brk id="32" max="32" man="1"/>
    <brk id="33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Y195"/>
  <sheetViews>
    <sheetView view="pageBreakPreview" topLeftCell="A132" zoomScaleNormal="100" zoomScaleSheetLayoutView="100" workbookViewId="0">
      <selection activeCell="C31" sqref="C31:I31"/>
    </sheetView>
  </sheetViews>
  <sheetFormatPr defaultRowHeight="12.75"/>
  <cols>
    <col min="1" max="1" width="10.28515625" style="17" customWidth="1"/>
    <col min="2" max="2" width="15.5703125" style="40" customWidth="1"/>
    <col min="3" max="3" width="65.7109375" style="42" customWidth="1"/>
    <col min="4" max="4" width="10.42578125" style="43" customWidth="1"/>
    <col min="5" max="5" width="9.7109375" style="18" hidden="1" customWidth="1"/>
    <col min="6" max="6" width="9.7109375" style="388" customWidth="1"/>
    <col min="7" max="7" width="14.42578125" style="18" customWidth="1"/>
    <col min="8" max="8" width="19.85546875" style="398" customWidth="1"/>
    <col min="9" max="9" width="13" style="20" hidden="1" customWidth="1"/>
    <col min="10" max="10" width="6.140625" style="40" hidden="1" customWidth="1"/>
    <col min="11" max="11" width="12.140625" style="40" hidden="1" customWidth="1"/>
    <col min="12" max="12" width="13" style="40" hidden="1" customWidth="1"/>
    <col min="13" max="13" width="9.140625" style="40"/>
    <col min="14" max="14" width="13.42578125" style="40" bestFit="1" customWidth="1"/>
    <col min="15" max="16384" width="9.140625" style="40"/>
  </cols>
  <sheetData>
    <row r="1" spans="1:14" s="4" customFormat="1" ht="31.5" customHeight="1">
      <c r="A1" s="744" t="s">
        <v>40</v>
      </c>
      <c r="B1" s="745"/>
      <c r="C1" s="745"/>
      <c r="D1" s="745"/>
      <c r="E1" s="745"/>
      <c r="F1" s="745"/>
      <c r="G1" s="745"/>
      <c r="H1" s="745"/>
      <c r="I1" s="745"/>
      <c r="J1" s="103"/>
      <c r="K1" s="743"/>
      <c r="L1" s="743"/>
    </row>
    <row r="2" spans="1:14" s="4" customFormat="1" ht="52.5" customHeight="1">
      <c r="A2" s="746" t="s">
        <v>670</v>
      </c>
      <c r="B2" s="746"/>
      <c r="C2" s="746"/>
      <c r="D2" s="746"/>
      <c r="E2" s="746"/>
      <c r="F2" s="746"/>
      <c r="G2" s="746"/>
      <c r="H2" s="746"/>
      <c r="I2" s="746"/>
      <c r="J2" s="77"/>
      <c r="K2" s="739"/>
      <c r="L2" s="739"/>
      <c r="M2" s="6"/>
      <c r="N2" s="6"/>
    </row>
    <row r="3" spans="1:14" ht="45" customHeight="1">
      <c r="A3" s="74" t="s">
        <v>3</v>
      </c>
      <c r="B3" s="75" t="s">
        <v>199</v>
      </c>
      <c r="C3" s="74" t="s">
        <v>190</v>
      </c>
      <c r="D3" s="74" t="s">
        <v>5</v>
      </c>
      <c r="E3" s="22" t="s">
        <v>6</v>
      </c>
      <c r="F3" s="380" t="str">
        <f>I3</f>
        <v>Ilośc jednostek</v>
      </c>
      <c r="G3" s="22" t="s">
        <v>66</v>
      </c>
      <c r="H3" s="389" t="s">
        <v>67</v>
      </c>
      <c r="I3" s="102" t="s">
        <v>654</v>
      </c>
      <c r="J3" s="102"/>
      <c r="K3" s="22" t="s">
        <v>66</v>
      </c>
      <c r="L3" s="22" t="s">
        <v>67</v>
      </c>
      <c r="M3" s="3"/>
    </row>
    <row r="4" spans="1:14" ht="19.5" customHeight="1">
      <c r="A4" s="376" t="s">
        <v>33</v>
      </c>
      <c r="B4" s="734" t="s">
        <v>127</v>
      </c>
      <c r="C4" s="742"/>
      <c r="D4" s="742"/>
      <c r="E4" s="742"/>
      <c r="F4" s="742"/>
      <c r="G4" s="742"/>
      <c r="H4" s="742"/>
      <c r="I4" s="742"/>
      <c r="J4" s="102"/>
      <c r="K4" s="743"/>
      <c r="L4" s="743"/>
      <c r="M4" s="3"/>
    </row>
    <row r="5" spans="1:14" ht="26.25" customHeight="1">
      <c r="A5" s="21" t="s">
        <v>54</v>
      </c>
      <c r="B5" s="21" t="s">
        <v>69</v>
      </c>
      <c r="C5" s="737" t="s">
        <v>46</v>
      </c>
      <c r="D5" s="737"/>
      <c r="E5" s="737"/>
      <c r="F5" s="737"/>
      <c r="G5" s="737"/>
      <c r="H5" s="737"/>
      <c r="I5" s="737"/>
      <c r="J5" s="102"/>
      <c r="K5" s="739"/>
      <c r="L5" s="739"/>
      <c r="M5" s="3"/>
    </row>
    <row r="6" spans="1:14" ht="18.75" customHeight="1">
      <c r="A6" s="64" t="s">
        <v>34</v>
      </c>
      <c r="B6" s="64" t="s">
        <v>65</v>
      </c>
      <c r="C6" s="736" t="s">
        <v>100</v>
      </c>
      <c r="D6" s="736"/>
      <c r="E6" s="736"/>
      <c r="F6" s="736"/>
      <c r="G6" s="736"/>
      <c r="H6" s="736"/>
      <c r="I6" s="736"/>
      <c r="J6" s="102"/>
      <c r="K6" s="104"/>
      <c r="L6" s="104"/>
      <c r="M6" s="3"/>
    </row>
    <row r="7" spans="1:14" ht="18.75" customHeight="1">
      <c r="A7" s="74" t="s">
        <v>101</v>
      </c>
      <c r="B7" s="66" t="str">
        <f t="shared" ref="B7:B13" si="0">B6</f>
        <v>00.00.00</v>
      </c>
      <c r="C7" s="235" t="s">
        <v>129</v>
      </c>
      <c r="D7" s="83" t="s">
        <v>325</v>
      </c>
      <c r="E7" s="236">
        <v>1</v>
      </c>
      <c r="F7" s="380">
        <f>I7</f>
        <v>1</v>
      </c>
      <c r="G7" s="236"/>
      <c r="H7" s="389"/>
      <c r="I7" s="236">
        <f t="shared" ref="I7:I13" si="1">E7</f>
        <v>1</v>
      </c>
      <c r="J7" s="102"/>
      <c r="K7" s="104"/>
      <c r="L7" s="104"/>
      <c r="M7" s="3"/>
      <c r="N7" s="399">
        <f>H7</f>
        <v>0</v>
      </c>
    </row>
    <row r="8" spans="1:14" ht="40.5" customHeight="1">
      <c r="A8" s="74" t="s">
        <v>102</v>
      </c>
      <c r="B8" s="66" t="str">
        <f t="shared" si="0"/>
        <v>00.00.00</v>
      </c>
      <c r="C8" s="235" t="s">
        <v>174</v>
      </c>
      <c r="D8" s="83" t="s">
        <v>325</v>
      </c>
      <c r="E8" s="236">
        <v>1</v>
      </c>
      <c r="F8" s="380">
        <f>I8</f>
        <v>1</v>
      </c>
      <c r="G8" s="236"/>
      <c r="H8" s="389"/>
      <c r="I8" s="236">
        <f t="shared" si="1"/>
        <v>1</v>
      </c>
      <c r="J8" s="102"/>
      <c r="K8" s="104"/>
      <c r="L8" s="104"/>
      <c r="M8" s="3"/>
      <c r="N8" s="399">
        <f t="shared" ref="N8:N65" si="2">H8</f>
        <v>0</v>
      </c>
    </row>
    <row r="9" spans="1:14" ht="28.5" customHeight="1">
      <c r="A9" s="74" t="s">
        <v>103</v>
      </c>
      <c r="B9" s="66" t="str">
        <f t="shared" si="0"/>
        <v>00.00.00</v>
      </c>
      <c r="C9" s="67" t="s">
        <v>406</v>
      </c>
      <c r="D9" s="103" t="s">
        <v>325</v>
      </c>
      <c r="E9" s="68">
        <v>1</v>
      </c>
      <c r="F9" s="68"/>
      <c r="G9" s="68"/>
      <c r="H9" s="390"/>
      <c r="I9" s="68">
        <f t="shared" si="1"/>
        <v>1</v>
      </c>
      <c r="J9" s="102"/>
      <c r="K9" s="104"/>
      <c r="L9" s="104"/>
      <c r="M9" s="3"/>
      <c r="N9" s="399">
        <f t="shared" si="2"/>
        <v>0</v>
      </c>
    </row>
    <row r="10" spans="1:14" ht="38.25" customHeight="1">
      <c r="A10" s="74" t="s">
        <v>104</v>
      </c>
      <c r="B10" s="66" t="str">
        <f t="shared" si="0"/>
        <v>00.00.00</v>
      </c>
      <c r="C10" s="67" t="s">
        <v>200</v>
      </c>
      <c r="D10" s="103" t="s">
        <v>325</v>
      </c>
      <c r="E10" s="68">
        <v>1</v>
      </c>
      <c r="F10" s="68"/>
      <c r="G10" s="68"/>
      <c r="H10" s="390"/>
      <c r="I10" s="68">
        <f t="shared" si="1"/>
        <v>1</v>
      </c>
      <c r="J10" s="102"/>
      <c r="K10" s="104"/>
      <c r="L10" s="104"/>
      <c r="M10" s="3"/>
      <c r="N10" s="399">
        <f t="shared" si="2"/>
        <v>0</v>
      </c>
    </row>
    <row r="11" spans="1:14" ht="28.5" customHeight="1">
      <c r="A11" s="74" t="s">
        <v>105</v>
      </c>
      <c r="B11" s="66" t="str">
        <f>B10</f>
        <v>00.00.00</v>
      </c>
      <c r="C11" s="67" t="s">
        <v>327</v>
      </c>
      <c r="D11" s="103" t="s">
        <v>325</v>
      </c>
      <c r="E11" s="68">
        <v>1</v>
      </c>
      <c r="F11" s="68"/>
      <c r="G11" s="68"/>
      <c r="H11" s="390"/>
      <c r="I11" s="68">
        <f t="shared" si="1"/>
        <v>1</v>
      </c>
      <c r="J11" s="102"/>
      <c r="K11" s="104"/>
      <c r="L11" s="104"/>
      <c r="M11" s="3"/>
      <c r="N11" s="399">
        <f t="shared" si="2"/>
        <v>0</v>
      </c>
    </row>
    <row r="12" spans="1:14" ht="28.5" customHeight="1">
      <c r="A12" s="74" t="s">
        <v>106</v>
      </c>
      <c r="B12" s="66" t="str">
        <f t="shared" si="0"/>
        <v>00.00.00</v>
      </c>
      <c r="C12" s="67" t="s">
        <v>328</v>
      </c>
      <c r="D12" s="103" t="s">
        <v>325</v>
      </c>
      <c r="E12" s="68">
        <v>1</v>
      </c>
      <c r="F12" s="68"/>
      <c r="G12" s="68"/>
      <c r="H12" s="390"/>
      <c r="I12" s="68">
        <f t="shared" si="1"/>
        <v>1</v>
      </c>
      <c r="J12" s="102"/>
      <c r="K12" s="104"/>
      <c r="L12" s="104"/>
      <c r="M12" s="3"/>
      <c r="N12" s="399">
        <f t="shared" si="2"/>
        <v>0</v>
      </c>
    </row>
    <row r="13" spans="1:14" ht="69.75" customHeight="1">
      <c r="A13" s="74" t="s">
        <v>106</v>
      </c>
      <c r="B13" s="66" t="str">
        <f t="shared" si="0"/>
        <v>00.00.00</v>
      </c>
      <c r="C13" s="67" t="s">
        <v>407</v>
      </c>
      <c r="D13" s="103" t="s">
        <v>325</v>
      </c>
      <c r="E13" s="68">
        <v>1</v>
      </c>
      <c r="F13" s="68"/>
      <c r="G13" s="68"/>
      <c r="H13" s="390"/>
      <c r="I13" s="68">
        <f t="shared" si="1"/>
        <v>1</v>
      </c>
      <c r="J13" s="102"/>
      <c r="K13" s="104"/>
      <c r="L13" s="104"/>
      <c r="M13" s="3"/>
      <c r="N13" s="399">
        <f t="shared" si="2"/>
        <v>0</v>
      </c>
    </row>
    <row r="14" spans="1:14" ht="24.75" customHeight="1">
      <c r="A14" s="731" t="s">
        <v>658</v>
      </c>
      <c r="B14" s="731"/>
      <c r="C14" s="731"/>
      <c r="D14" s="731"/>
      <c r="E14" s="731"/>
      <c r="F14" s="731"/>
      <c r="G14" s="731"/>
      <c r="H14" s="401"/>
      <c r="I14" s="402">
        <f>SUM(I5:I13)</f>
        <v>7</v>
      </c>
      <c r="J14" s="102"/>
      <c r="K14" s="104"/>
      <c r="L14" s="104"/>
      <c r="M14" s="3"/>
      <c r="N14" s="399"/>
    </row>
    <row r="15" spans="1:14" ht="21.75" customHeight="1">
      <c r="A15" s="733" t="s">
        <v>655</v>
      </c>
      <c r="B15" s="733"/>
      <c r="C15" s="733"/>
      <c r="D15" s="733"/>
      <c r="E15" s="733"/>
      <c r="F15" s="733"/>
      <c r="G15" s="733"/>
      <c r="H15" s="403"/>
      <c r="I15" s="404">
        <f>I14</f>
        <v>7</v>
      </c>
      <c r="J15" s="102"/>
      <c r="K15" s="104"/>
      <c r="L15" s="104"/>
      <c r="M15" s="3"/>
      <c r="N15" s="399"/>
    </row>
    <row r="16" spans="1:14" ht="20.25" customHeight="1">
      <c r="A16" s="376" t="s">
        <v>37</v>
      </c>
      <c r="B16" s="734" t="s">
        <v>568</v>
      </c>
      <c r="C16" s="742"/>
      <c r="D16" s="742"/>
      <c r="E16" s="742"/>
      <c r="F16" s="742"/>
      <c r="G16" s="742"/>
      <c r="H16" s="742"/>
      <c r="I16" s="742"/>
      <c r="J16" s="102"/>
      <c r="K16" s="743"/>
      <c r="L16" s="743"/>
      <c r="M16" s="3"/>
      <c r="N16" s="399">
        <f t="shared" si="2"/>
        <v>0</v>
      </c>
    </row>
    <row r="17" spans="1:15" s="1" customFormat="1" ht="27" customHeight="1">
      <c r="A17" s="21" t="s">
        <v>56</v>
      </c>
      <c r="B17" s="21" t="s">
        <v>55</v>
      </c>
      <c r="C17" s="737" t="s">
        <v>175</v>
      </c>
      <c r="D17" s="737"/>
      <c r="E17" s="737"/>
      <c r="F17" s="737"/>
      <c r="G17" s="737"/>
      <c r="H17" s="737"/>
      <c r="I17" s="737"/>
      <c r="J17" s="105"/>
      <c r="K17" s="739"/>
      <c r="L17" s="739"/>
      <c r="N17" s="399">
        <f t="shared" si="2"/>
        <v>0</v>
      </c>
    </row>
    <row r="18" spans="1:15" ht="18" hidden="1" customHeight="1">
      <c r="A18" s="64" t="s">
        <v>34</v>
      </c>
      <c r="B18" s="73" t="s">
        <v>13</v>
      </c>
      <c r="C18" s="736" t="s">
        <v>107</v>
      </c>
      <c r="D18" s="736"/>
      <c r="E18" s="740"/>
      <c r="F18" s="740"/>
      <c r="G18" s="740"/>
      <c r="H18" s="740"/>
      <c r="I18" s="740"/>
      <c r="J18" s="102"/>
      <c r="K18" s="738"/>
      <c r="L18" s="738"/>
      <c r="M18" s="3"/>
      <c r="N18" s="399">
        <f t="shared" si="2"/>
        <v>0</v>
      </c>
    </row>
    <row r="19" spans="1:15" s="14" customFormat="1" ht="18.75" hidden="1" customHeight="1">
      <c r="A19" s="74">
        <v>2</v>
      </c>
      <c r="B19" s="75" t="s">
        <v>131</v>
      </c>
      <c r="C19" s="76" t="s">
        <v>202</v>
      </c>
      <c r="D19" s="74" t="s">
        <v>197</v>
      </c>
      <c r="E19" s="78" t="s">
        <v>34</v>
      </c>
      <c r="F19" s="381"/>
      <c r="G19" s="78"/>
      <c r="H19" s="391"/>
      <c r="I19" s="78">
        <f>SUM(E20:E20)</f>
        <v>0.4</v>
      </c>
      <c r="J19" s="237"/>
      <c r="K19" s="35">
        <v>3524.44</v>
      </c>
      <c r="L19" s="35">
        <f>K19*I19</f>
        <v>1409.78</v>
      </c>
      <c r="M19" s="1"/>
      <c r="N19" s="399">
        <f t="shared" si="2"/>
        <v>0</v>
      </c>
    </row>
    <row r="20" spans="1:15" ht="71.25" hidden="1" customHeight="1">
      <c r="A20" s="74"/>
      <c r="B20" s="79"/>
      <c r="C20" s="80" t="s">
        <v>509</v>
      </c>
      <c r="D20" s="81" t="s">
        <v>197</v>
      </c>
      <c r="E20" s="82">
        <f>(205+(452-257))/1000</f>
        <v>0.4</v>
      </c>
      <c r="F20" s="382"/>
      <c r="G20" s="82"/>
      <c r="H20" s="392"/>
      <c r="I20" s="83" t="s">
        <v>34</v>
      </c>
      <c r="J20" s="102"/>
      <c r="K20" s="35"/>
      <c r="L20" s="35"/>
      <c r="M20" s="3"/>
      <c r="N20" s="399">
        <f t="shared" si="2"/>
        <v>0</v>
      </c>
    </row>
    <row r="21" spans="1:15" ht="16.5" hidden="1" customHeight="1">
      <c r="A21" s="64" t="s">
        <v>34</v>
      </c>
      <c r="B21" s="324" t="s">
        <v>408</v>
      </c>
      <c r="C21" s="736" t="s">
        <v>409</v>
      </c>
      <c r="D21" s="736"/>
      <c r="E21" s="740"/>
      <c r="F21" s="740"/>
      <c r="G21" s="740"/>
      <c r="H21" s="740"/>
      <c r="I21" s="740"/>
      <c r="J21" s="102"/>
      <c r="K21" s="35"/>
      <c r="L21" s="35"/>
      <c r="M21" s="3"/>
      <c r="N21" s="399">
        <f t="shared" si="2"/>
        <v>0</v>
      </c>
    </row>
    <row r="22" spans="1:15" ht="19.5" hidden="1" customHeight="1">
      <c r="A22" s="74">
        <v>3</v>
      </c>
      <c r="B22" s="75" t="s">
        <v>411</v>
      </c>
      <c r="C22" s="76" t="s">
        <v>410</v>
      </c>
      <c r="D22" s="74" t="s">
        <v>12</v>
      </c>
      <c r="E22" s="78" t="s">
        <v>34</v>
      </c>
      <c r="F22" s="381"/>
      <c r="G22" s="78"/>
      <c r="H22" s="391"/>
      <c r="I22" s="78">
        <f>SUM(E23:E23)</f>
        <v>6</v>
      </c>
      <c r="J22" s="102"/>
      <c r="K22" s="35"/>
      <c r="L22" s="35"/>
      <c r="M22" s="3"/>
      <c r="N22" s="399">
        <f t="shared" si="2"/>
        <v>0</v>
      </c>
    </row>
    <row r="23" spans="1:15" ht="64.5" hidden="1" customHeight="1">
      <c r="A23" s="74"/>
      <c r="B23" s="79"/>
      <c r="C23" s="80" t="s">
        <v>414</v>
      </c>
      <c r="D23" s="81" t="s">
        <v>12</v>
      </c>
      <c r="E23" s="82">
        <v>6</v>
      </c>
      <c r="F23" s="382"/>
      <c r="G23" s="82"/>
      <c r="H23" s="392"/>
      <c r="I23" s="83" t="s">
        <v>34</v>
      </c>
      <c r="J23" s="102"/>
      <c r="K23" s="35"/>
      <c r="L23" s="35"/>
      <c r="M23" s="3"/>
      <c r="N23" s="399">
        <f t="shared" si="2"/>
        <v>0</v>
      </c>
    </row>
    <row r="24" spans="1:15" ht="19.5" hidden="1" customHeight="1">
      <c r="A24" s="74">
        <v>4</v>
      </c>
      <c r="B24" s="75" t="s">
        <v>412</v>
      </c>
      <c r="C24" s="76" t="s">
        <v>413</v>
      </c>
      <c r="D24" s="74" t="s">
        <v>176</v>
      </c>
      <c r="E24" s="78" t="s">
        <v>34</v>
      </c>
      <c r="F24" s="381"/>
      <c r="G24" s="78"/>
      <c r="H24" s="391"/>
      <c r="I24" s="78">
        <f>SUM(E25:E25)</f>
        <v>12</v>
      </c>
      <c r="J24" s="102"/>
      <c r="K24" s="35"/>
      <c r="L24" s="35"/>
      <c r="M24" s="3"/>
      <c r="N24" s="399">
        <f t="shared" si="2"/>
        <v>0</v>
      </c>
    </row>
    <row r="25" spans="1:15" ht="60.75" hidden="1" customHeight="1">
      <c r="A25" s="74"/>
      <c r="B25" s="79"/>
      <c r="C25" s="80" t="s">
        <v>415</v>
      </c>
      <c r="D25" s="81" t="s">
        <v>177</v>
      </c>
      <c r="E25" s="82">
        <v>12</v>
      </c>
      <c r="F25" s="382"/>
      <c r="G25" s="82"/>
      <c r="H25" s="392"/>
      <c r="I25" s="83" t="s">
        <v>34</v>
      </c>
      <c r="J25" s="102"/>
      <c r="K25" s="35"/>
      <c r="L25" s="35"/>
      <c r="M25" s="3"/>
      <c r="N25" s="399">
        <f t="shared" si="2"/>
        <v>0</v>
      </c>
    </row>
    <row r="26" spans="1:15" ht="18" hidden="1" customHeight="1">
      <c r="A26" s="64" t="s">
        <v>34</v>
      </c>
      <c r="B26" s="64" t="s">
        <v>14</v>
      </c>
      <c r="C26" s="736" t="s">
        <v>108</v>
      </c>
      <c r="D26" s="736"/>
      <c r="E26" s="736"/>
      <c r="F26" s="736"/>
      <c r="G26" s="736"/>
      <c r="H26" s="736"/>
      <c r="I26" s="736"/>
      <c r="J26" s="102"/>
      <c r="K26" s="738"/>
      <c r="L26" s="738"/>
      <c r="M26" s="3"/>
      <c r="N26" s="399">
        <f t="shared" si="2"/>
        <v>0</v>
      </c>
    </row>
    <row r="27" spans="1:15" s="14" customFormat="1" ht="28.5" hidden="1" customHeight="1">
      <c r="A27" s="74">
        <v>5</v>
      </c>
      <c r="B27" s="75" t="s">
        <v>418</v>
      </c>
      <c r="C27" s="76" t="s">
        <v>417</v>
      </c>
      <c r="D27" s="74" t="s">
        <v>176</v>
      </c>
      <c r="E27" s="78" t="s">
        <v>34</v>
      </c>
      <c r="F27" s="381"/>
      <c r="G27" s="78"/>
      <c r="H27" s="391"/>
      <c r="I27" s="78">
        <f>E28</f>
        <v>1400</v>
      </c>
      <c r="J27" s="105"/>
      <c r="K27" s="35">
        <v>0.48</v>
      </c>
      <c r="L27" s="35">
        <f>K27*I27</f>
        <v>672</v>
      </c>
      <c r="M27" s="1"/>
      <c r="N27" s="399">
        <f t="shared" si="2"/>
        <v>0</v>
      </c>
    </row>
    <row r="28" spans="1:15" ht="68.25" hidden="1" customHeight="1">
      <c r="A28" s="74"/>
      <c r="B28" s="79"/>
      <c r="C28" s="80" t="s">
        <v>419</v>
      </c>
      <c r="D28" s="81" t="s">
        <v>177</v>
      </c>
      <c r="E28" s="82">
        <f>(205+(452-257))*3.5</f>
        <v>1400</v>
      </c>
      <c r="F28" s="382"/>
      <c r="G28" s="82"/>
      <c r="H28" s="392"/>
      <c r="I28" s="82" t="s">
        <v>34</v>
      </c>
      <c r="J28" s="102"/>
      <c r="K28" s="35"/>
      <c r="L28" s="35"/>
      <c r="M28" s="3"/>
      <c r="N28" s="399">
        <f t="shared" si="2"/>
        <v>0</v>
      </c>
    </row>
    <row r="29" spans="1:15" ht="31.5" hidden="1" customHeight="1">
      <c r="A29" s="74">
        <v>5</v>
      </c>
      <c r="B29" s="75" t="s">
        <v>226</v>
      </c>
      <c r="C29" s="76" t="s">
        <v>421</v>
      </c>
      <c r="D29" s="74" t="s">
        <v>176</v>
      </c>
      <c r="E29" s="78" t="s">
        <v>34</v>
      </c>
      <c r="F29" s="381"/>
      <c r="G29" s="78"/>
      <c r="H29" s="391"/>
      <c r="I29" s="78">
        <f>E30</f>
        <v>0</v>
      </c>
      <c r="J29" s="102"/>
      <c r="K29" s="35"/>
      <c r="L29" s="35"/>
      <c r="M29" s="3"/>
      <c r="N29" s="399">
        <f t="shared" si="2"/>
        <v>0</v>
      </c>
      <c r="O29" s="284"/>
    </row>
    <row r="30" spans="1:15" ht="61.5" hidden="1" customHeight="1">
      <c r="A30" s="74"/>
      <c r="B30" s="79"/>
      <c r="C30" s="80" t="s">
        <v>422</v>
      </c>
      <c r="D30" s="81" t="s">
        <v>177</v>
      </c>
      <c r="E30" s="82">
        <v>0</v>
      </c>
      <c r="F30" s="413"/>
      <c r="G30" s="82"/>
      <c r="H30" s="392"/>
      <c r="I30" s="82" t="s">
        <v>34</v>
      </c>
      <c r="J30" s="102"/>
      <c r="K30" s="35"/>
      <c r="L30" s="35"/>
      <c r="M30" s="3"/>
      <c r="N30" s="399">
        <f t="shared" si="2"/>
        <v>0</v>
      </c>
    </row>
    <row r="31" spans="1:15" ht="54" customHeight="1">
      <c r="A31" s="64" t="s">
        <v>34</v>
      </c>
      <c r="B31" s="64" t="s">
        <v>15</v>
      </c>
      <c r="C31" s="736" t="s">
        <v>671</v>
      </c>
      <c r="D31" s="736"/>
      <c r="E31" s="741"/>
      <c r="F31" s="736"/>
      <c r="G31" s="736"/>
      <c r="H31" s="736"/>
      <c r="I31" s="736"/>
      <c r="J31" s="102"/>
      <c r="K31" s="738"/>
      <c r="L31" s="738"/>
      <c r="M31" s="3"/>
      <c r="N31" s="399">
        <f t="shared" si="2"/>
        <v>0</v>
      </c>
    </row>
    <row r="32" spans="1:15" ht="18" customHeight="1">
      <c r="A32" s="74">
        <v>2</v>
      </c>
      <c r="B32" s="75" t="s">
        <v>30</v>
      </c>
      <c r="C32" s="76" t="s">
        <v>672</v>
      </c>
      <c r="D32" s="74" t="s">
        <v>176</v>
      </c>
      <c r="E32" s="78" t="s">
        <v>34</v>
      </c>
      <c r="F32" s="380">
        <f t="shared" ref="F32:F53" si="3">I32</f>
        <v>624.29</v>
      </c>
      <c r="G32" s="78"/>
      <c r="H32" s="391"/>
      <c r="I32" s="78">
        <f>SUM(E33)</f>
        <v>624.29</v>
      </c>
      <c r="J32" s="102"/>
      <c r="K32" s="375"/>
      <c r="L32" s="416"/>
      <c r="M32" s="418"/>
      <c r="N32" s="399">
        <f t="shared" si="2"/>
        <v>0</v>
      </c>
    </row>
    <row r="33" spans="1:180" ht="72.75" hidden="1" customHeight="1">
      <c r="A33" s="74"/>
      <c r="B33" s="79"/>
      <c r="C33" s="80" t="s">
        <v>620</v>
      </c>
      <c r="D33" s="81" t="s">
        <v>177</v>
      </c>
      <c r="E33" s="82">
        <f>583.45*1.07</f>
        <v>624.29</v>
      </c>
      <c r="F33" s="380" t="str">
        <f t="shared" si="3"/>
        <v>x</v>
      </c>
      <c r="G33" s="82"/>
      <c r="H33" s="392"/>
      <c r="I33" s="82" t="s">
        <v>34</v>
      </c>
      <c r="J33" s="102"/>
      <c r="K33" s="262"/>
      <c r="L33" s="262"/>
      <c r="M33" s="3"/>
      <c r="N33" s="399">
        <f t="shared" si="2"/>
        <v>0</v>
      </c>
    </row>
    <row r="34" spans="1:180" ht="63.75" hidden="1">
      <c r="A34" s="378" t="s">
        <v>35</v>
      </c>
      <c r="B34" s="72" t="str">
        <f>B32</f>
        <v>01.02.04.11</v>
      </c>
      <c r="C34" s="69" t="s">
        <v>621</v>
      </c>
      <c r="D34" s="70" t="s">
        <v>178</v>
      </c>
      <c r="E34" s="71">
        <f>E33*0.2</f>
        <v>124.86</v>
      </c>
      <c r="F34" s="380">
        <f t="shared" si="3"/>
        <v>124.86</v>
      </c>
      <c r="G34" s="71"/>
      <c r="H34" s="390"/>
      <c r="I34" s="71">
        <f>E34</f>
        <v>124.86</v>
      </c>
      <c r="J34" s="102"/>
      <c r="K34" s="262"/>
      <c r="L34" s="262"/>
      <c r="M34" s="3"/>
      <c r="N34" s="399">
        <f t="shared" si="2"/>
        <v>0</v>
      </c>
    </row>
    <row r="35" spans="1:180" s="14" customFormat="1" ht="19.5" hidden="1" customHeight="1">
      <c r="A35" s="74">
        <v>7</v>
      </c>
      <c r="B35" s="75" t="s">
        <v>109</v>
      </c>
      <c r="C35" s="76" t="s">
        <v>428</v>
      </c>
      <c r="D35" s="74" t="s">
        <v>176</v>
      </c>
      <c r="E35" s="78" t="s">
        <v>34</v>
      </c>
      <c r="F35" s="380">
        <f t="shared" si="3"/>
        <v>191.95</v>
      </c>
      <c r="G35" s="78"/>
      <c r="H35" s="391"/>
      <c r="I35" s="78">
        <f>SUM(E36)</f>
        <v>191.95</v>
      </c>
      <c r="J35" s="105"/>
      <c r="K35" s="35">
        <v>13.88</v>
      </c>
      <c r="L35" s="35">
        <f>K35*I35</f>
        <v>2664.27</v>
      </c>
      <c r="M35" s="1"/>
      <c r="N35" s="399">
        <f t="shared" si="2"/>
        <v>0</v>
      </c>
    </row>
    <row r="36" spans="1:180" ht="33" hidden="1" customHeight="1">
      <c r="A36" s="270"/>
      <c r="B36" s="272"/>
      <c r="C36" s="273" t="s">
        <v>429</v>
      </c>
      <c r="D36" s="274" t="s">
        <v>674</v>
      </c>
      <c r="E36" s="275">
        <f>191.95</f>
        <v>191.95</v>
      </c>
      <c r="F36" s="420" t="str">
        <f t="shared" si="3"/>
        <v>x</v>
      </c>
      <c r="G36" s="82"/>
      <c r="H36" s="392"/>
      <c r="I36" s="82" t="s">
        <v>34</v>
      </c>
      <c r="J36" s="102"/>
      <c r="K36" s="35"/>
      <c r="L36" s="35"/>
      <c r="M36" s="3"/>
      <c r="N36" s="399">
        <f t="shared" si="2"/>
        <v>0</v>
      </c>
    </row>
    <row r="37" spans="1:180" s="15" customFormat="1" ht="40.5" hidden="1" customHeight="1">
      <c r="A37" s="421" t="s">
        <v>132</v>
      </c>
      <c r="B37" s="279" t="str">
        <f>B35</f>
        <v>01.02.04.21</v>
      </c>
      <c r="C37" s="280" t="s">
        <v>430</v>
      </c>
      <c r="D37" s="281" t="s">
        <v>675</v>
      </c>
      <c r="E37" s="282">
        <f>E36*0.15</f>
        <v>28.79</v>
      </c>
      <c r="F37" s="420">
        <f t="shared" si="3"/>
        <v>28.79</v>
      </c>
      <c r="G37" s="71"/>
      <c r="H37" s="390"/>
      <c r="I37" s="71">
        <f>0.15*I35</f>
        <v>28.79</v>
      </c>
      <c r="J37" s="84"/>
      <c r="K37" s="36"/>
      <c r="L37" s="36"/>
      <c r="M37" s="8"/>
      <c r="N37" s="399">
        <f t="shared" si="2"/>
        <v>0</v>
      </c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</row>
    <row r="38" spans="1:180" s="15" customFormat="1" ht="20.25" customHeight="1">
      <c r="A38" s="270">
        <v>3</v>
      </c>
      <c r="B38" s="107" t="s">
        <v>31</v>
      </c>
      <c r="C38" s="269" t="s">
        <v>431</v>
      </c>
      <c r="D38" s="270" t="s">
        <v>673</v>
      </c>
      <c r="E38" s="202" t="s">
        <v>34</v>
      </c>
      <c r="F38" s="420">
        <f t="shared" si="3"/>
        <v>53.22</v>
      </c>
      <c r="G38" s="78"/>
      <c r="H38" s="391"/>
      <c r="I38" s="78">
        <f>SUM(E39)</f>
        <v>53.22</v>
      </c>
      <c r="J38" s="84"/>
      <c r="K38" s="36"/>
      <c r="L38" s="36"/>
      <c r="M38" s="8"/>
      <c r="N38" s="399">
        <f t="shared" si="2"/>
        <v>0</v>
      </c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</row>
    <row r="39" spans="1:180" s="15" customFormat="1" ht="45.75" hidden="1" customHeight="1">
      <c r="A39" s="74"/>
      <c r="B39" s="79"/>
      <c r="C39" s="80" t="s">
        <v>614</v>
      </c>
      <c r="D39" s="81" t="s">
        <v>177</v>
      </c>
      <c r="E39" s="82">
        <f>'1.2.3. Zjazdy indywidualne'!N26-'1.2.3. Zjazdy indywidualne'!N24</f>
        <v>53.22</v>
      </c>
      <c r="F39" s="420" t="str">
        <f t="shared" si="3"/>
        <v>x</v>
      </c>
      <c r="G39" s="82"/>
      <c r="H39" s="391"/>
      <c r="I39" s="82" t="s">
        <v>34</v>
      </c>
      <c r="J39" s="84"/>
      <c r="K39" s="36"/>
      <c r="L39" s="36"/>
      <c r="M39" s="8"/>
      <c r="N39" s="399">
        <f t="shared" si="2"/>
        <v>0</v>
      </c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</row>
    <row r="40" spans="1:180" s="15" customFormat="1" ht="39.75" hidden="1" customHeight="1">
      <c r="A40" s="378" t="s">
        <v>133</v>
      </c>
      <c r="B40" s="72" t="str">
        <f>B38</f>
        <v>01.02.04.22</v>
      </c>
      <c r="C40" s="69" t="s">
        <v>615</v>
      </c>
      <c r="D40" s="70" t="s">
        <v>178</v>
      </c>
      <c r="E40" s="282">
        <f>E39*0.05</f>
        <v>2.66</v>
      </c>
      <c r="F40" s="380">
        <f t="shared" si="3"/>
        <v>2.66</v>
      </c>
      <c r="G40" s="71"/>
      <c r="H40" s="391"/>
      <c r="I40" s="71">
        <f>E40</f>
        <v>2.66</v>
      </c>
      <c r="J40" s="84"/>
      <c r="K40" s="36"/>
      <c r="L40" s="36"/>
      <c r="M40" s="8"/>
      <c r="N40" s="399">
        <f t="shared" si="2"/>
        <v>0</v>
      </c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</row>
    <row r="41" spans="1:180" s="15" customFormat="1" ht="18" customHeight="1">
      <c r="A41" s="74">
        <v>4</v>
      </c>
      <c r="B41" s="75" t="s">
        <v>135</v>
      </c>
      <c r="C41" s="76" t="s">
        <v>434</v>
      </c>
      <c r="D41" s="74" t="s">
        <v>176</v>
      </c>
      <c r="E41" s="202" t="s">
        <v>34</v>
      </c>
      <c r="F41" s="380">
        <f t="shared" si="3"/>
        <v>624.29</v>
      </c>
      <c r="G41" s="78"/>
      <c r="H41" s="391"/>
      <c r="I41" s="78">
        <f>SUM(E42)</f>
        <v>624.29</v>
      </c>
      <c r="J41" s="84"/>
      <c r="K41" s="36"/>
      <c r="L41" s="36"/>
      <c r="M41" s="8"/>
      <c r="N41" s="399">
        <f t="shared" si="2"/>
        <v>0</v>
      </c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</row>
    <row r="42" spans="1:180" s="15" customFormat="1" ht="87.75" hidden="1" customHeight="1">
      <c r="A42" s="74"/>
      <c r="B42" s="79"/>
      <c r="C42" s="80" t="s">
        <v>651</v>
      </c>
      <c r="D42" s="81" t="s">
        <v>177</v>
      </c>
      <c r="E42" s="82">
        <v>624.29</v>
      </c>
      <c r="F42" s="380" t="str">
        <f t="shared" si="3"/>
        <v>x</v>
      </c>
      <c r="G42" s="82"/>
      <c r="H42" s="391"/>
      <c r="I42" s="82" t="s">
        <v>34</v>
      </c>
      <c r="J42" s="84"/>
      <c r="K42" s="36"/>
      <c r="L42" s="36"/>
      <c r="M42" s="8"/>
      <c r="N42" s="399">
        <f t="shared" si="2"/>
        <v>0</v>
      </c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</row>
    <row r="43" spans="1:180" s="15" customFormat="1" ht="73.5" hidden="1" customHeight="1">
      <c r="A43" s="378" t="s">
        <v>134</v>
      </c>
      <c r="B43" s="72" t="str">
        <f>B41</f>
        <v>01.02.04.24</v>
      </c>
      <c r="C43" s="69" t="s">
        <v>622</v>
      </c>
      <c r="D43" s="70" t="s">
        <v>178</v>
      </c>
      <c r="E43" s="71">
        <f>E42*0.06</f>
        <v>37.46</v>
      </c>
      <c r="F43" s="380">
        <f t="shared" si="3"/>
        <v>37.46</v>
      </c>
      <c r="G43" s="71"/>
      <c r="H43" s="391"/>
      <c r="I43" s="71">
        <f>E43</f>
        <v>37.46</v>
      </c>
      <c r="J43" s="84"/>
      <c r="K43" s="36"/>
      <c r="L43" s="36"/>
      <c r="M43" s="8"/>
      <c r="N43" s="399">
        <f t="shared" si="2"/>
        <v>0</v>
      </c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</row>
    <row r="44" spans="1:180" s="15" customFormat="1" ht="21" hidden="1" customHeight="1">
      <c r="A44" s="74">
        <v>10</v>
      </c>
      <c r="B44" s="75" t="s">
        <v>437</v>
      </c>
      <c r="C44" s="76" t="s">
        <v>438</v>
      </c>
      <c r="D44" s="74" t="s">
        <v>176</v>
      </c>
      <c r="E44" s="78" t="s">
        <v>34</v>
      </c>
      <c r="F44" s="380">
        <f t="shared" si="3"/>
        <v>18</v>
      </c>
      <c r="G44" s="78"/>
      <c r="H44" s="391"/>
      <c r="I44" s="78">
        <f>SUM(E45)</f>
        <v>18</v>
      </c>
      <c r="J44" s="84"/>
      <c r="K44" s="36"/>
      <c r="L44" s="36"/>
      <c r="M44" s="8"/>
      <c r="N44" s="399">
        <f t="shared" si="2"/>
        <v>0</v>
      </c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</row>
    <row r="45" spans="1:180" s="15" customFormat="1" ht="42.75" hidden="1" customHeight="1">
      <c r="A45" s="74"/>
      <c r="B45" s="79"/>
      <c r="C45" s="80" t="s">
        <v>439</v>
      </c>
      <c r="D45" s="81" t="s">
        <v>177</v>
      </c>
      <c r="E45" s="82">
        <f>18</f>
        <v>18</v>
      </c>
      <c r="F45" s="420" t="str">
        <f t="shared" si="3"/>
        <v>x</v>
      </c>
      <c r="G45" s="82"/>
      <c r="H45" s="391"/>
      <c r="I45" s="82" t="s">
        <v>34</v>
      </c>
      <c r="J45" s="84"/>
      <c r="K45" s="36"/>
      <c r="L45" s="36"/>
      <c r="M45" s="8"/>
      <c r="N45" s="399">
        <f t="shared" si="2"/>
        <v>0</v>
      </c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</row>
    <row r="46" spans="1:180" s="15" customFormat="1" ht="38.25" hidden="1" customHeight="1">
      <c r="A46" s="378" t="s">
        <v>36</v>
      </c>
      <c r="B46" s="72" t="str">
        <f>B44</f>
        <v>01.02.04.23</v>
      </c>
      <c r="C46" s="69" t="s">
        <v>440</v>
      </c>
      <c r="D46" s="70" t="s">
        <v>178</v>
      </c>
      <c r="E46" s="282">
        <f>E45*0.1</f>
        <v>1.8</v>
      </c>
      <c r="F46" s="380">
        <f t="shared" si="3"/>
        <v>1.8</v>
      </c>
      <c r="G46" s="71"/>
      <c r="H46" s="391"/>
      <c r="I46" s="71">
        <f>E46</f>
        <v>1.8</v>
      </c>
      <c r="J46" s="84"/>
      <c r="K46" s="36"/>
      <c r="L46" s="36"/>
      <c r="M46" s="8"/>
      <c r="N46" s="399">
        <f t="shared" si="2"/>
        <v>0</v>
      </c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</row>
    <row r="47" spans="1:180" s="15" customFormat="1" ht="21" customHeight="1">
      <c r="A47" s="74">
        <v>5</v>
      </c>
      <c r="B47" s="75" t="s">
        <v>441</v>
      </c>
      <c r="C47" s="76" t="s">
        <v>617</v>
      </c>
      <c r="D47" s="74" t="s">
        <v>11</v>
      </c>
      <c r="E47" s="78" t="s">
        <v>34</v>
      </c>
      <c r="F47" s="380">
        <f t="shared" si="3"/>
        <v>713</v>
      </c>
      <c r="G47" s="78"/>
      <c r="H47" s="391"/>
      <c r="I47" s="78">
        <f>SUM(E48)</f>
        <v>713</v>
      </c>
      <c r="J47" s="84"/>
      <c r="K47" s="36"/>
      <c r="L47" s="36"/>
      <c r="M47" s="8"/>
      <c r="N47" s="399">
        <f t="shared" si="2"/>
        <v>0</v>
      </c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</row>
    <row r="48" spans="1:180" s="15" customFormat="1" ht="90.75" hidden="1" customHeight="1">
      <c r="A48" s="74"/>
      <c r="B48" s="272"/>
      <c r="C48" s="80" t="s">
        <v>624</v>
      </c>
      <c r="D48" s="81" t="s">
        <v>11</v>
      </c>
      <c r="E48" s="82">
        <v>713</v>
      </c>
      <c r="F48" s="380" t="str">
        <f t="shared" si="3"/>
        <v>x</v>
      </c>
      <c r="G48" s="82"/>
      <c r="H48" s="391"/>
      <c r="I48" s="82" t="s">
        <v>34</v>
      </c>
      <c r="J48" s="84"/>
      <c r="K48" s="36"/>
      <c r="L48" s="36"/>
      <c r="M48" s="8"/>
      <c r="N48" s="399">
        <f t="shared" si="2"/>
        <v>0</v>
      </c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</row>
    <row r="49" spans="1:181" s="15" customFormat="1" ht="69" hidden="1" customHeight="1">
      <c r="A49" s="378" t="s">
        <v>136</v>
      </c>
      <c r="B49" s="72" t="str">
        <f>B47</f>
        <v>01.02.04.41</v>
      </c>
      <c r="C49" s="69" t="s">
        <v>623</v>
      </c>
      <c r="D49" s="70" t="s">
        <v>178</v>
      </c>
      <c r="E49" s="71">
        <f>E48*0.3*0.15</f>
        <v>32.090000000000003</v>
      </c>
      <c r="F49" s="380">
        <f t="shared" si="3"/>
        <v>32.090000000000003</v>
      </c>
      <c r="G49" s="71"/>
      <c r="H49" s="391"/>
      <c r="I49" s="71">
        <f>E49</f>
        <v>32.090000000000003</v>
      </c>
      <c r="J49" s="84"/>
      <c r="K49" s="36"/>
      <c r="L49" s="36"/>
      <c r="M49" s="8"/>
      <c r="N49" s="399">
        <f t="shared" si="2"/>
        <v>0</v>
      </c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</row>
    <row r="50" spans="1:181" s="15" customFormat="1" ht="18.75" customHeight="1">
      <c r="A50" s="74">
        <v>6</v>
      </c>
      <c r="B50" s="75" t="s">
        <v>32</v>
      </c>
      <c r="C50" s="76" t="s">
        <v>138</v>
      </c>
      <c r="D50" s="74" t="s">
        <v>9</v>
      </c>
      <c r="E50" s="78" t="s">
        <v>34</v>
      </c>
      <c r="F50" s="380">
        <f t="shared" si="3"/>
        <v>3</v>
      </c>
      <c r="G50" s="78"/>
      <c r="H50" s="391"/>
      <c r="I50" s="78">
        <f>SUM(E51)</f>
        <v>3</v>
      </c>
      <c r="J50" s="84"/>
      <c r="K50" s="36"/>
      <c r="L50" s="36"/>
      <c r="M50" s="8"/>
      <c r="N50" s="399">
        <f t="shared" si="2"/>
        <v>0</v>
      </c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</row>
    <row r="51" spans="1:181" s="15" customFormat="1" ht="40.5" hidden="1" customHeight="1">
      <c r="A51" s="378"/>
      <c r="B51" s="72"/>
      <c r="C51" s="69" t="s">
        <v>616</v>
      </c>
      <c r="D51" s="70" t="s">
        <v>9</v>
      </c>
      <c r="E51" s="71">
        <v>3</v>
      </c>
      <c r="F51" s="380" t="str">
        <f t="shared" si="3"/>
        <v>x</v>
      </c>
      <c r="G51" s="71"/>
      <c r="H51" s="391"/>
      <c r="I51" s="71" t="s">
        <v>34</v>
      </c>
      <c r="J51" s="84"/>
      <c r="K51" s="36"/>
      <c r="L51" s="36"/>
      <c r="M51" s="8"/>
      <c r="N51" s="399">
        <f t="shared" si="2"/>
        <v>0</v>
      </c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</row>
    <row r="52" spans="1:181" s="15" customFormat="1" ht="18" customHeight="1">
      <c r="A52" s="74">
        <v>7</v>
      </c>
      <c r="B52" s="75" t="s">
        <v>110</v>
      </c>
      <c r="C52" s="76" t="s">
        <v>139</v>
      </c>
      <c r="D52" s="74" t="s">
        <v>9</v>
      </c>
      <c r="E52" s="78" t="s">
        <v>34</v>
      </c>
      <c r="F52" s="380">
        <f t="shared" si="3"/>
        <v>5</v>
      </c>
      <c r="G52" s="78"/>
      <c r="H52" s="391"/>
      <c r="I52" s="78">
        <f>SUM(E53)</f>
        <v>5</v>
      </c>
      <c r="J52" s="84"/>
      <c r="K52" s="36"/>
      <c r="L52" s="36"/>
      <c r="M52" s="60"/>
      <c r="N52" s="399">
        <f t="shared" si="2"/>
        <v>0</v>
      </c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</row>
    <row r="53" spans="1:181" s="15" customFormat="1" ht="32.25" hidden="1" customHeight="1">
      <c r="A53" s="378"/>
      <c r="B53" s="72"/>
      <c r="C53" s="69" t="s">
        <v>576</v>
      </c>
      <c r="D53" s="70" t="s">
        <v>9</v>
      </c>
      <c r="E53" s="71">
        <v>5</v>
      </c>
      <c r="F53" s="380" t="str">
        <f t="shared" si="3"/>
        <v>x</v>
      </c>
      <c r="G53" s="71"/>
      <c r="H53" s="390"/>
      <c r="I53" s="71" t="s">
        <v>34</v>
      </c>
      <c r="J53" s="84"/>
      <c r="K53" s="36"/>
      <c r="L53" s="36"/>
      <c r="M53" s="8"/>
      <c r="N53" s="399">
        <f t="shared" si="2"/>
        <v>0</v>
      </c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</row>
    <row r="54" spans="1:181" s="15" customFormat="1" ht="19.5" hidden="1" customHeight="1">
      <c r="A54" s="74">
        <v>16</v>
      </c>
      <c r="B54" s="75" t="s">
        <v>141</v>
      </c>
      <c r="C54" s="76" t="s">
        <v>203</v>
      </c>
      <c r="D54" s="74" t="s">
        <v>179</v>
      </c>
      <c r="E54" s="78" t="s">
        <v>34</v>
      </c>
      <c r="F54" s="381"/>
      <c r="G54" s="78"/>
      <c r="H54" s="391"/>
      <c r="I54" s="78">
        <f>SUM(E55)</f>
        <v>6.64</v>
      </c>
      <c r="J54" s="84"/>
      <c r="K54" s="36"/>
      <c r="L54" s="36"/>
      <c r="M54" s="8"/>
      <c r="N54" s="399">
        <f t="shared" si="2"/>
        <v>0</v>
      </c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</row>
    <row r="55" spans="1:181" s="15" customFormat="1" ht="45" hidden="1" customHeight="1">
      <c r="A55" s="378"/>
      <c r="B55" s="72"/>
      <c r="C55" s="69" t="s">
        <v>456</v>
      </c>
      <c r="D55" s="70" t="s">
        <v>178</v>
      </c>
      <c r="E55" s="71">
        <f>6.64</f>
        <v>6.64</v>
      </c>
      <c r="F55" s="383"/>
      <c r="G55" s="71"/>
      <c r="H55" s="390"/>
      <c r="I55" s="71" t="s">
        <v>34</v>
      </c>
      <c r="J55" s="84"/>
      <c r="K55" s="36"/>
      <c r="L55" s="36"/>
      <c r="M55" s="8"/>
      <c r="N55" s="399">
        <f t="shared" si="2"/>
        <v>0</v>
      </c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</row>
    <row r="56" spans="1:181" s="15" customFormat="1" ht="27" hidden="1" customHeight="1">
      <c r="A56" s="21" t="s">
        <v>58</v>
      </c>
      <c r="B56" s="21" t="s">
        <v>111</v>
      </c>
      <c r="C56" s="737" t="s">
        <v>189</v>
      </c>
      <c r="D56" s="737"/>
      <c r="E56" s="737"/>
      <c r="F56" s="737"/>
      <c r="G56" s="737"/>
      <c r="H56" s="737"/>
      <c r="I56" s="737"/>
      <c r="J56" s="84"/>
      <c r="K56" s="36"/>
      <c r="L56" s="36"/>
      <c r="M56" s="8"/>
      <c r="N56" s="399">
        <f t="shared" si="2"/>
        <v>0</v>
      </c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</row>
    <row r="57" spans="1:181" s="15" customFormat="1" ht="20.25" hidden="1" customHeight="1">
      <c r="A57" s="64" t="s">
        <v>34</v>
      </c>
      <c r="B57" s="64" t="s">
        <v>142</v>
      </c>
      <c r="C57" s="736" t="s">
        <v>147</v>
      </c>
      <c r="D57" s="736"/>
      <c r="E57" s="736"/>
      <c r="F57" s="736"/>
      <c r="G57" s="736"/>
      <c r="H57" s="736"/>
      <c r="I57" s="736"/>
      <c r="J57" s="84"/>
      <c r="K57" s="36"/>
      <c r="L57" s="36"/>
      <c r="M57" s="8"/>
      <c r="N57" s="399">
        <f t="shared" si="2"/>
        <v>0</v>
      </c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</row>
    <row r="58" spans="1:181" s="15" customFormat="1" ht="27" hidden="1" customHeight="1">
      <c r="A58" s="74">
        <v>17</v>
      </c>
      <c r="B58" s="66" t="s">
        <v>143</v>
      </c>
      <c r="C58" s="85" t="s">
        <v>144</v>
      </c>
      <c r="D58" s="74" t="s">
        <v>179</v>
      </c>
      <c r="E58" s="78" t="s">
        <v>34</v>
      </c>
      <c r="F58" s="381"/>
      <c r="G58" s="78"/>
      <c r="H58" s="391"/>
      <c r="I58" s="78">
        <f>E59</f>
        <v>0</v>
      </c>
      <c r="J58" s="84"/>
      <c r="K58" s="36"/>
      <c r="L58" s="36"/>
      <c r="M58" s="8"/>
      <c r="N58" s="399">
        <f t="shared" si="2"/>
        <v>0</v>
      </c>
      <c r="O58" s="285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</row>
    <row r="59" spans="1:181" s="15" customFormat="1" ht="46.5" hidden="1" customHeight="1">
      <c r="A59" s="74"/>
      <c r="B59" s="75"/>
      <c r="C59" s="80" t="s">
        <v>457</v>
      </c>
      <c r="D59" s="81" t="s">
        <v>178</v>
      </c>
      <c r="E59" s="82">
        <v>0</v>
      </c>
      <c r="F59" s="382"/>
      <c r="G59" s="82"/>
      <c r="H59" s="392"/>
      <c r="I59" s="78" t="s">
        <v>34</v>
      </c>
      <c r="J59" s="84"/>
      <c r="K59" s="36"/>
      <c r="L59" s="36"/>
      <c r="M59" s="8"/>
      <c r="N59" s="399">
        <f t="shared" si="2"/>
        <v>0</v>
      </c>
      <c r="O59" s="8"/>
      <c r="P59" s="8"/>
      <c r="Q59" s="8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</row>
    <row r="60" spans="1:181" s="15" customFormat="1" ht="20.25" hidden="1" customHeight="1">
      <c r="A60" s="74">
        <v>18</v>
      </c>
      <c r="B60" s="66" t="s">
        <v>145</v>
      </c>
      <c r="C60" s="85" t="s">
        <v>146</v>
      </c>
      <c r="D60" s="74" t="s">
        <v>179</v>
      </c>
      <c r="E60" s="78" t="s">
        <v>34</v>
      </c>
      <c r="F60" s="381"/>
      <c r="G60" s="78"/>
      <c r="H60" s="391"/>
      <c r="I60" s="78">
        <f>E61</f>
        <v>0</v>
      </c>
      <c r="J60" s="84"/>
      <c r="K60" s="36"/>
      <c r="L60" s="36"/>
      <c r="M60" s="8"/>
      <c r="N60" s="399">
        <f t="shared" si="2"/>
        <v>0</v>
      </c>
      <c r="O60" s="285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</row>
    <row r="61" spans="1:181" s="15" customFormat="1" ht="74.25" hidden="1" customHeight="1">
      <c r="A61" s="74"/>
      <c r="B61" s="75"/>
      <c r="C61" s="80" t="s">
        <v>458</v>
      </c>
      <c r="D61" s="81" t="s">
        <v>178</v>
      </c>
      <c r="E61" s="82">
        <v>0</v>
      </c>
      <c r="F61" s="382"/>
      <c r="G61" s="82"/>
      <c r="H61" s="392"/>
      <c r="I61" s="78" t="s">
        <v>34</v>
      </c>
      <c r="J61" s="84"/>
      <c r="K61" s="36"/>
      <c r="L61" s="36"/>
      <c r="M61" s="8"/>
      <c r="N61" s="399">
        <f t="shared" si="2"/>
        <v>0</v>
      </c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</row>
    <row r="62" spans="1:181" s="14" customFormat="1" ht="18" hidden="1" customHeight="1">
      <c r="A62" s="64" t="s">
        <v>34</v>
      </c>
      <c r="B62" s="64" t="s">
        <v>70</v>
      </c>
      <c r="C62" s="736" t="s">
        <v>71</v>
      </c>
      <c r="D62" s="736"/>
      <c r="E62" s="736"/>
      <c r="F62" s="736"/>
      <c r="G62" s="736"/>
      <c r="H62" s="736"/>
      <c r="I62" s="736"/>
      <c r="J62" s="105"/>
      <c r="K62" s="35">
        <v>350</v>
      </c>
      <c r="L62" s="35" t="e">
        <f>K62*#REF!</f>
        <v>#REF!</v>
      </c>
      <c r="M62" s="8"/>
      <c r="N62" s="399">
        <f t="shared" si="2"/>
        <v>0</v>
      </c>
    </row>
    <row r="63" spans="1:181" s="14" customFormat="1" ht="19.5" hidden="1" customHeight="1">
      <c r="A63" s="379">
        <v>19</v>
      </c>
      <c r="B63" s="66" t="s">
        <v>148</v>
      </c>
      <c r="C63" s="108" t="s">
        <v>149</v>
      </c>
      <c r="D63" s="86" t="s">
        <v>179</v>
      </c>
      <c r="E63" s="87" t="s">
        <v>34</v>
      </c>
      <c r="F63" s="36"/>
      <c r="G63" s="87"/>
      <c r="H63" s="391"/>
      <c r="I63" s="87">
        <f>E64</f>
        <v>0</v>
      </c>
      <c r="J63" s="105"/>
      <c r="K63" s="35"/>
      <c r="L63" s="35"/>
      <c r="M63" s="8"/>
      <c r="N63" s="399">
        <f t="shared" si="2"/>
        <v>0</v>
      </c>
      <c r="O63" s="286"/>
    </row>
    <row r="64" spans="1:181" s="14" customFormat="1" ht="33" hidden="1" customHeight="1">
      <c r="A64" s="379"/>
      <c r="B64" s="75"/>
      <c r="C64" s="109" t="s">
        <v>459</v>
      </c>
      <c r="D64" s="81" t="s">
        <v>178</v>
      </c>
      <c r="E64" s="82">
        <f>E59</f>
        <v>0</v>
      </c>
      <c r="F64" s="382"/>
      <c r="G64" s="82"/>
      <c r="H64" s="392"/>
      <c r="I64" s="82" t="s">
        <v>34</v>
      </c>
      <c r="J64" s="105"/>
      <c r="K64" s="35"/>
      <c r="L64" s="35"/>
      <c r="M64" s="8"/>
      <c r="N64" s="399">
        <f t="shared" si="2"/>
        <v>0</v>
      </c>
    </row>
    <row r="65" spans="1:16" s="14" customFormat="1" ht="27.75" hidden="1" customHeight="1">
      <c r="A65" s="379">
        <v>20</v>
      </c>
      <c r="B65" s="66" t="s">
        <v>148</v>
      </c>
      <c r="C65" s="108" t="s">
        <v>460</v>
      </c>
      <c r="D65" s="86" t="s">
        <v>179</v>
      </c>
      <c r="E65" s="87" t="s">
        <v>34</v>
      </c>
      <c r="F65" s="36"/>
      <c r="G65" s="87"/>
      <c r="H65" s="391"/>
      <c r="I65" s="87">
        <f>E66</f>
        <v>0</v>
      </c>
      <c r="J65" s="105"/>
      <c r="K65" s="35"/>
      <c r="L65" s="35"/>
      <c r="M65" s="8"/>
      <c r="N65" s="399">
        <f t="shared" si="2"/>
        <v>0</v>
      </c>
      <c r="O65" s="286"/>
    </row>
    <row r="66" spans="1:16" s="14" customFormat="1" ht="42" hidden="1" customHeight="1">
      <c r="A66" s="379"/>
      <c r="B66" s="75"/>
      <c r="C66" s="109" t="s">
        <v>461</v>
      </c>
      <c r="D66" s="81" t="s">
        <v>178</v>
      </c>
      <c r="E66" s="82">
        <f>E61</f>
        <v>0</v>
      </c>
      <c r="F66" s="382"/>
      <c r="G66" s="82"/>
      <c r="H66" s="392"/>
      <c r="I66" s="82" t="s">
        <v>34</v>
      </c>
      <c r="J66" s="105"/>
      <c r="K66" s="35"/>
      <c r="L66" s="35"/>
      <c r="M66" s="8"/>
      <c r="N66" s="399">
        <f t="shared" ref="N66:N129" si="4">H66</f>
        <v>0</v>
      </c>
    </row>
    <row r="67" spans="1:16" s="3" customFormat="1" ht="32.25" hidden="1" customHeight="1">
      <c r="A67" s="21" t="s">
        <v>48</v>
      </c>
      <c r="B67" s="21" t="s">
        <v>112</v>
      </c>
      <c r="C67" s="737" t="s">
        <v>180</v>
      </c>
      <c r="D67" s="737"/>
      <c r="E67" s="737"/>
      <c r="F67" s="737"/>
      <c r="G67" s="737"/>
      <c r="H67" s="737"/>
      <c r="I67" s="737"/>
      <c r="J67" s="102"/>
      <c r="K67" s="35"/>
      <c r="L67" s="35"/>
      <c r="M67" s="1"/>
      <c r="N67" s="399">
        <f t="shared" si="4"/>
        <v>0</v>
      </c>
    </row>
    <row r="68" spans="1:16" s="3" customFormat="1" ht="18" hidden="1" customHeight="1">
      <c r="A68" s="64" t="s">
        <v>34</v>
      </c>
      <c r="B68" s="64" t="s">
        <v>150</v>
      </c>
      <c r="C68" s="736" t="s">
        <v>151</v>
      </c>
      <c r="D68" s="736"/>
      <c r="E68" s="736"/>
      <c r="F68" s="736"/>
      <c r="G68" s="736"/>
      <c r="H68" s="736"/>
      <c r="I68" s="736"/>
      <c r="J68" s="102"/>
      <c r="K68" s="35"/>
      <c r="L68" s="35"/>
      <c r="M68" s="1"/>
      <c r="N68" s="399">
        <f t="shared" si="4"/>
        <v>0</v>
      </c>
    </row>
    <row r="69" spans="1:16" s="3" customFormat="1" ht="19.5" hidden="1" customHeight="1">
      <c r="A69" s="379">
        <v>18</v>
      </c>
      <c r="B69" s="66" t="s">
        <v>152</v>
      </c>
      <c r="C69" s="108" t="s">
        <v>153</v>
      </c>
      <c r="D69" s="86" t="s">
        <v>11</v>
      </c>
      <c r="E69" s="87" t="s">
        <v>34</v>
      </c>
      <c r="F69" s="36"/>
      <c r="G69" s="87"/>
      <c r="H69" s="391"/>
      <c r="I69" s="87">
        <f>E70</f>
        <v>2</v>
      </c>
      <c r="J69" s="102"/>
      <c r="K69" s="35"/>
      <c r="L69" s="35"/>
      <c r="M69" s="1"/>
      <c r="N69" s="399">
        <f t="shared" si="4"/>
        <v>0</v>
      </c>
    </row>
    <row r="70" spans="1:16" s="3" customFormat="1" ht="69" hidden="1" customHeight="1">
      <c r="A70" s="379"/>
      <c r="B70" s="75"/>
      <c r="C70" s="109" t="s">
        <v>329</v>
      </c>
      <c r="D70" s="81" t="s">
        <v>11</v>
      </c>
      <c r="E70" s="82">
        <f>2</f>
        <v>2</v>
      </c>
      <c r="F70" s="382"/>
      <c r="G70" s="82"/>
      <c r="H70" s="392"/>
      <c r="I70" s="82" t="s">
        <v>34</v>
      </c>
      <c r="J70" s="102"/>
      <c r="K70" s="35"/>
      <c r="L70" s="35"/>
      <c r="M70" s="1"/>
      <c r="N70" s="399">
        <f t="shared" si="4"/>
        <v>0</v>
      </c>
    </row>
    <row r="71" spans="1:16" s="3" customFormat="1" ht="18" hidden="1" customHeight="1">
      <c r="A71" s="378" t="s">
        <v>228</v>
      </c>
      <c r="B71" s="72" t="str">
        <f>B69</f>
        <v>03.01.01.11</v>
      </c>
      <c r="C71" s="69" t="s">
        <v>154</v>
      </c>
      <c r="D71" s="70" t="s">
        <v>34</v>
      </c>
      <c r="E71" s="71" t="s">
        <v>34</v>
      </c>
      <c r="F71" s="383"/>
      <c r="G71" s="71"/>
      <c r="H71" s="390"/>
      <c r="I71" s="71" t="s">
        <v>34</v>
      </c>
      <c r="J71" s="102"/>
      <c r="K71" s="35"/>
      <c r="L71" s="35"/>
      <c r="M71" s="1"/>
      <c r="N71" s="399">
        <f t="shared" si="4"/>
        <v>0</v>
      </c>
    </row>
    <row r="72" spans="1:16" s="3" customFormat="1" ht="17.25" hidden="1" customHeight="1">
      <c r="A72" s="88"/>
      <c r="B72" s="148"/>
      <c r="C72" s="149" t="s">
        <v>205</v>
      </c>
      <c r="D72" s="150" t="s">
        <v>227</v>
      </c>
      <c r="E72" s="151">
        <f>0.66*2</f>
        <v>1.32</v>
      </c>
      <c r="F72" s="384"/>
      <c r="G72" s="151"/>
      <c r="H72" s="393"/>
      <c r="I72" s="151">
        <f>E72</f>
        <v>1.32</v>
      </c>
      <c r="J72" s="102"/>
      <c r="K72" s="35"/>
      <c r="L72" s="35"/>
      <c r="M72" s="1"/>
      <c r="N72" s="399">
        <f t="shared" si="4"/>
        <v>0</v>
      </c>
    </row>
    <row r="73" spans="1:16" s="3" customFormat="1" ht="27" hidden="1" customHeight="1">
      <c r="A73" s="86"/>
      <c r="B73" s="148"/>
      <c r="C73" s="152" t="s">
        <v>204</v>
      </c>
      <c r="D73" s="150" t="s">
        <v>227</v>
      </c>
      <c r="E73" s="151">
        <f>2*0.13</f>
        <v>0.26</v>
      </c>
      <c r="F73" s="384"/>
      <c r="G73" s="151"/>
      <c r="H73" s="393"/>
      <c r="I73" s="151">
        <f>E73</f>
        <v>0.26</v>
      </c>
      <c r="J73" s="102"/>
      <c r="K73" s="35"/>
      <c r="L73" s="35"/>
      <c r="M73" s="1"/>
      <c r="N73" s="399">
        <f t="shared" si="4"/>
        <v>0</v>
      </c>
    </row>
    <row r="74" spans="1:16" s="3" customFormat="1" ht="20.25" hidden="1" customHeight="1">
      <c r="A74" s="86"/>
      <c r="B74" s="148"/>
      <c r="C74" s="149" t="s">
        <v>206</v>
      </c>
      <c r="D74" s="150" t="s">
        <v>227</v>
      </c>
      <c r="E74" s="151">
        <f>0.66</f>
        <v>0.66</v>
      </c>
      <c r="F74" s="384"/>
      <c r="G74" s="151"/>
      <c r="H74" s="393"/>
      <c r="I74" s="151">
        <f>E74</f>
        <v>0.66</v>
      </c>
      <c r="J74" s="102"/>
      <c r="K74" s="35"/>
      <c r="L74" s="35"/>
      <c r="M74" s="1"/>
      <c r="N74" s="399">
        <f t="shared" si="4"/>
        <v>0</v>
      </c>
    </row>
    <row r="75" spans="1:16" s="3" customFormat="1" ht="19.5" hidden="1" customHeight="1">
      <c r="A75" s="64" t="s">
        <v>34</v>
      </c>
      <c r="B75" s="64" t="s">
        <v>155</v>
      </c>
      <c r="C75" s="736" t="s">
        <v>156</v>
      </c>
      <c r="D75" s="736"/>
      <c r="E75" s="736"/>
      <c r="F75" s="736"/>
      <c r="G75" s="736"/>
      <c r="H75" s="736"/>
      <c r="I75" s="736"/>
      <c r="J75" s="102"/>
      <c r="K75" s="35"/>
      <c r="L75" s="35"/>
      <c r="M75" s="1"/>
      <c r="N75" s="399">
        <f t="shared" si="4"/>
        <v>0</v>
      </c>
    </row>
    <row r="76" spans="1:16" s="3" customFormat="1" ht="18" hidden="1" customHeight="1">
      <c r="A76" s="379">
        <v>21</v>
      </c>
      <c r="B76" s="66" t="s">
        <v>157</v>
      </c>
      <c r="C76" s="108" t="s">
        <v>463</v>
      </c>
      <c r="D76" s="86" t="s">
        <v>11</v>
      </c>
      <c r="E76" s="87" t="s">
        <v>34</v>
      </c>
      <c r="F76" s="36"/>
      <c r="G76" s="87"/>
      <c r="H76" s="391"/>
      <c r="I76" s="87">
        <f>E77</f>
        <v>9.5</v>
      </c>
      <c r="J76" s="102"/>
      <c r="K76" s="35"/>
      <c r="L76" s="35"/>
      <c r="M76" s="1"/>
      <c r="N76" s="399">
        <f t="shared" si="4"/>
        <v>0</v>
      </c>
    </row>
    <row r="77" spans="1:16" s="3" customFormat="1" ht="30" hidden="1" customHeight="1">
      <c r="A77" s="379"/>
      <c r="B77" s="75"/>
      <c r="C77" s="109" t="s">
        <v>464</v>
      </c>
      <c r="D77" s="81" t="s">
        <v>11</v>
      </c>
      <c r="E77" s="82">
        <f>10.5-1</f>
        <v>9.5</v>
      </c>
      <c r="F77" s="382"/>
      <c r="G77" s="82"/>
      <c r="H77" s="392"/>
      <c r="I77" s="82" t="s">
        <v>34</v>
      </c>
      <c r="J77" s="102"/>
      <c r="K77" s="35"/>
      <c r="L77" s="35"/>
      <c r="M77" s="1"/>
      <c r="N77" s="399">
        <f t="shared" si="4"/>
        <v>0</v>
      </c>
    </row>
    <row r="78" spans="1:16" s="3" customFormat="1" ht="18" hidden="1" customHeight="1">
      <c r="A78" s="64" t="s">
        <v>34</v>
      </c>
      <c r="B78" s="64" t="s">
        <v>94</v>
      </c>
      <c r="C78" s="736" t="s">
        <v>465</v>
      </c>
      <c r="D78" s="736"/>
      <c r="E78" s="736"/>
      <c r="F78" s="736"/>
      <c r="G78" s="736"/>
      <c r="H78" s="736"/>
      <c r="I78" s="736"/>
      <c r="J78" s="102"/>
      <c r="K78" s="35"/>
      <c r="L78" s="35"/>
      <c r="N78" s="399">
        <f t="shared" si="4"/>
        <v>0</v>
      </c>
    </row>
    <row r="79" spans="1:16" s="3" customFormat="1" ht="38.25" hidden="1" customHeight="1">
      <c r="A79" s="379">
        <v>22</v>
      </c>
      <c r="B79" s="66" t="s">
        <v>466</v>
      </c>
      <c r="C79" s="108" t="s">
        <v>510</v>
      </c>
      <c r="D79" s="86" t="s">
        <v>11</v>
      </c>
      <c r="E79" s="87" t="s">
        <v>34</v>
      </c>
      <c r="F79" s="36"/>
      <c r="G79" s="87"/>
      <c r="H79" s="391"/>
      <c r="I79" s="87">
        <f>E80</f>
        <v>244</v>
      </c>
      <c r="J79" s="102"/>
      <c r="K79" s="35"/>
      <c r="L79" s="35"/>
      <c r="N79" s="399">
        <f t="shared" si="4"/>
        <v>0</v>
      </c>
    </row>
    <row r="80" spans="1:16" s="3" customFormat="1" ht="69.75" hidden="1" customHeight="1">
      <c r="A80" s="379"/>
      <c r="B80" s="75"/>
      <c r="C80" s="109" t="s">
        <v>511</v>
      </c>
      <c r="D80" s="81" t="s">
        <v>11</v>
      </c>
      <c r="E80" s="82">
        <f>46+31+45+38+41+43</f>
        <v>244</v>
      </c>
      <c r="F80" s="382"/>
      <c r="G80" s="82"/>
      <c r="H80" s="392"/>
      <c r="I80" s="82" t="s">
        <v>34</v>
      </c>
      <c r="J80" s="102"/>
      <c r="K80" s="35"/>
      <c r="L80" s="35"/>
      <c r="N80" s="399">
        <f t="shared" si="4"/>
        <v>0</v>
      </c>
      <c r="P80" s="3">
        <f>38+41+43</f>
        <v>122</v>
      </c>
    </row>
    <row r="81" spans="1:15" s="3" customFormat="1" ht="17.25" hidden="1" customHeight="1">
      <c r="A81" s="378" t="s">
        <v>467</v>
      </c>
      <c r="B81" s="72" t="str">
        <f>B79</f>
        <v>03.02.01.28</v>
      </c>
      <c r="C81" s="69" t="s">
        <v>158</v>
      </c>
      <c r="D81" s="70" t="s">
        <v>34</v>
      </c>
      <c r="E81" s="71" t="s">
        <v>34</v>
      </c>
      <c r="F81" s="383"/>
      <c r="G81" s="71"/>
      <c r="H81" s="390"/>
      <c r="I81" s="71" t="s">
        <v>34</v>
      </c>
      <c r="J81" s="102"/>
      <c r="K81" s="35"/>
      <c r="L81" s="35"/>
      <c r="N81" s="399">
        <f t="shared" si="4"/>
        <v>0</v>
      </c>
    </row>
    <row r="82" spans="1:15" s="3" customFormat="1" ht="26.25" hidden="1" customHeight="1">
      <c r="A82" s="86"/>
      <c r="B82" s="153"/>
      <c r="C82" s="152" t="s">
        <v>208</v>
      </c>
      <c r="D82" s="150" t="s">
        <v>227</v>
      </c>
      <c r="E82" s="151">
        <f>0.18*1</f>
        <v>0.18</v>
      </c>
      <c r="F82" s="384"/>
      <c r="G82" s="151"/>
      <c r="H82" s="393"/>
      <c r="I82" s="151">
        <f>E82</f>
        <v>0.18</v>
      </c>
      <c r="J82" s="102"/>
      <c r="K82" s="35"/>
      <c r="L82" s="35"/>
      <c r="N82" s="399">
        <f t="shared" si="4"/>
        <v>0</v>
      </c>
      <c r="O82" s="311"/>
    </row>
    <row r="83" spans="1:15" s="3" customFormat="1" ht="30.75" hidden="1" customHeight="1">
      <c r="A83" s="86"/>
      <c r="B83" s="153"/>
      <c r="C83" s="149" t="s">
        <v>161</v>
      </c>
      <c r="D83" s="150" t="s">
        <v>227</v>
      </c>
      <c r="E83" s="151">
        <f>1*(1.5*0.85-3.14*0.325*0.325)</f>
        <v>0.94</v>
      </c>
      <c r="F83" s="384"/>
      <c r="G83" s="151"/>
      <c r="H83" s="393"/>
      <c r="I83" s="151">
        <f>E83</f>
        <v>0.94</v>
      </c>
      <c r="J83" s="102"/>
      <c r="K83" s="35"/>
      <c r="L83" s="35"/>
      <c r="N83" s="399">
        <f t="shared" si="4"/>
        <v>0</v>
      </c>
      <c r="O83" s="311"/>
    </row>
    <row r="84" spans="1:15" s="3" customFormat="1" ht="18" hidden="1" customHeight="1">
      <c r="A84" s="378"/>
      <c r="B84" s="72"/>
      <c r="C84" s="154" t="s">
        <v>512</v>
      </c>
      <c r="D84" s="155" t="s">
        <v>11</v>
      </c>
      <c r="E84" s="156">
        <v>1</v>
      </c>
      <c r="F84" s="385"/>
      <c r="G84" s="156"/>
      <c r="H84" s="394"/>
      <c r="I84" s="156">
        <v>1</v>
      </c>
      <c r="J84" s="102"/>
      <c r="K84" s="35"/>
      <c r="L84" s="35"/>
      <c r="N84" s="399">
        <f t="shared" si="4"/>
        <v>0</v>
      </c>
      <c r="O84" s="311"/>
    </row>
    <row r="85" spans="1:15" s="3" customFormat="1" ht="18" hidden="1" customHeight="1">
      <c r="A85" s="379">
        <v>22</v>
      </c>
      <c r="B85" s="66" t="s">
        <v>113</v>
      </c>
      <c r="C85" s="108" t="s">
        <v>159</v>
      </c>
      <c r="D85" s="86" t="s">
        <v>11</v>
      </c>
      <c r="E85" s="87" t="s">
        <v>34</v>
      </c>
      <c r="F85" s="36"/>
      <c r="G85" s="87"/>
      <c r="H85" s="391"/>
      <c r="I85" s="87">
        <f>E86</f>
        <v>33.5</v>
      </c>
      <c r="J85" s="102"/>
      <c r="K85" s="35"/>
      <c r="L85" s="35"/>
      <c r="N85" s="399">
        <f t="shared" si="4"/>
        <v>0</v>
      </c>
    </row>
    <row r="86" spans="1:15" s="3" customFormat="1" ht="81.75" hidden="1" customHeight="1">
      <c r="A86" s="379"/>
      <c r="B86" s="75"/>
      <c r="C86" s="109" t="s">
        <v>468</v>
      </c>
      <c r="D86" s="81" t="s">
        <v>11</v>
      </c>
      <c r="E86" s="82">
        <f>3.5+7+2.5+8+3+3+3+3.5</f>
        <v>33.5</v>
      </c>
      <c r="F86" s="382"/>
      <c r="G86" s="82"/>
      <c r="H86" s="392"/>
      <c r="I86" s="82" t="s">
        <v>34</v>
      </c>
      <c r="J86" s="102"/>
      <c r="K86" s="35"/>
      <c r="L86" s="35"/>
      <c r="N86" s="399">
        <f t="shared" si="4"/>
        <v>0</v>
      </c>
    </row>
    <row r="87" spans="1:15" s="3" customFormat="1" ht="27.75" hidden="1" customHeight="1">
      <c r="A87" s="379">
        <v>23</v>
      </c>
      <c r="B87" s="66" t="s">
        <v>469</v>
      </c>
      <c r="C87" s="108" t="s">
        <v>513</v>
      </c>
      <c r="D87" s="86" t="s">
        <v>12</v>
      </c>
      <c r="E87" s="87" t="s">
        <v>34</v>
      </c>
      <c r="F87" s="36"/>
      <c r="G87" s="87"/>
      <c r="H87" s="391"/>
      <c r="I87" s="87">
        <f>E88</f>
        <v>6</v>
      </c>
      <c r="J87" s="102"/>
      <c r="K87" s="35"/>
      <c r="L87" s="35"/>
      <c r="N87" s="399">
        <f t="shared" si="4"/>
        <v>0</v>
      </c>
    </row>
    <row r="88" spans="1:15" s="3" customFormat="1" ht="78.75" hidden="1" customHeight="1">
      <c r="A88" s="379"/>
      <c r="B88" s="75"/>
      <c r="C88" s="109" t="s">
        <v>470</v>
      </c>
      <c r="D88" s="81" t="s">
        <v>12</v>
      </c>
      <c r="E88" s="82">
        <f>2+4</f>
        <v>6</v>
      </c>
      <c r="F88" s="382"/>
      <c r="G88" s="82"/>
      <c r="H88" s="392"/>
      <c r="I88" s="82" t="s">
        <v>34</v>
      </c>
      <c r="J88" s="102"/>
      <c r="K88" s="35"/>
      <c r="L88" s="35"/>
      <c r="N88" s="399">
        <f t="shared" si="4"/>
        <v>0</v>
      </c>
    </row>
    <row r="89" spans="1:15" s="3" customFormat="1" ht="29.25" hidden="1" customHeight="1">
      <c r="A89" s="379">
        <v>24</v>
      </c>
      <c r="B89" s="66" t="s">
        <v>471</v>
      </c>
      <c r="C89" s="108" t="s">
        <v>514</v>
      </c>
      <c r="D89" s="86" t="s">
        <v>12</v>
      </c>
      <c r="E89" s="87" t="s">
        <v>34</v>
      </c>
      <c r="F89" s="36"/>
      <c r="G89" s="87"/>
      <c r="H89" s="391"/>
      <c r="I89" s="87">
        <f>E90</f>
        <v>1</v>
      </c>
      <c r="J89" s="102"/>
      <c r="K89" s="35"/>
      <c r="L89" s="35"/>
      <c r="N89" s="399">
        <f t="shared" si="4"/>
        <v>0</v>
      </c>
    </row>
    <row r="90" spans="1:15" s="3" customFormat="1" ht="71.25" hidden="1" customHeight="1">
      <c r="A90" s="379"/>
      <c r="B90" s="75"/>
      <c r="C90" s="109" t="s">
        <v>472</v>
      </c>
      <c r="D90" s="81" t="s">
        <v>12</v>
      </c>
      <c r="E90" s="82">
        <v>1</v>
      </c>
      <c r="F90" s="382"/>
      <c r="G90" s="82"/>
      <c r="H90" s="392"/>
      <c r="I90" s="82" t="s">
        <v>34</v>
      </c>
      <c r="J90" s="102"/>
      <c r="K90" s="35"/>
      <c r="L90" s="35"/>
      <c r="N90" s="399">
        <f t="shared" si="4"/>
        <v>0</v>
      </c>
    </row>
    <row r="91" spans="1:15" s="3" customFormat="1" ht="18" hidden="1" customHeight="1">
      <c r="A91" s="379">
        <v>25</v>
      </c>
      <c r="B91" s="66" t="s">
        <v>160</v>
      </c>
      <c r="C91" s="108" t="s">
        <v>229</v>
      </c>
      <c r="D91" s="86" t="s">
        <v>12</v>
      </c>
      <c r="E91" s="87" t="s">
        <v>34</v>
      </c>
      <c r="F91" s="36"/>
      <c r="G91" s="87"/>
      <c r="H91" s="391"/>
      <c r="I91" s="87">
        <f>E92</f>
        <v>8</v>
      </c>
      <c r="J91" s="102"/>
      <c r="K91" s="35"/>
      <c r="L91" s="35"/>
      <c r="N91" s="399">
        <f t="shared" si="4"/>
        <v>0</v>
      </c>
    </row>
    <row r="92" spans="1:15" s="3" customFormat="1" ht="93.75" hidden="1" customHeight="1">
      <c r="A92" s="379"/>
      <c r="B92" s="75"/>
      <c r="C92" s="109" t="s">
        <v>473</v>
      </c>
      <c r="D92" s="81" t="s">
        <v>12</v>
      </c>
      <c r="E92" s="82">
        <f>8</f>
        <v>8</v>
      </c>
      <c r="F92" s="382"/>
      <c r="G92" s="82"/>
      <c r="H92" s="392"/>
      <c r="I92" s="82" t="s">
        <v>34</v>
      </c>
      <c r="J92" s="102"/>
      <c r="K92" s="35"/>
      <c r="L92" s="35"/>
      <c r="N92" s="399">
        <f t="shared" si="4"/>
        <v>0</v>
      </c>
    </row>
    <row r="93" spans="1:15" s="3" customFormat="1" ht="29.25" customHeight="1">
      <c r="A93" s="74">
        <v>8</v>
      </c>
      <c r="B93" s="75" t="s">
        <v>643</v>
      </c>
      <c r="C93" s="76" t="s">
        <v>644</v>
      </c>
      <c r="D93" s="74" t="s">
        <v>9</v>
      </c>
      <c r="E93" s="78" t="s">
        <v>34</v>
      </c>
      <c r="F93" s="380">
        <f>I93</f>
        <v>2</v>
      </c>
      <c r="G93" s="78"/>
      <c r="H93" s="391"/>
      <c r="I93" s="78">
        <v>2</v>
      </c>
      <c r="J93" s="102"/>
      <c r="K93" s="35"/>
      <c r="L93" s="35"/>
      <c r="N93" s="399">
        <f t="shared" si="4"/>
        <v>0</v>
      </c>
    </row>
    <row r="94" spans="1:15" s="3" customFormat="1" ht="81" hidden="1" customHeight="1">
      <c r="A94" s="378"/>
      <c r="B94" s="72"/>
      <c r="C94" s="69" t="s">
        <v>652</v>
      </c>
      <c r="D94" s="70" t="s">
        <v>9</v>
      </c>
      <c r="E94" s="71">
        <v>2</v>
      </c>
      <c r="F94" s="380" t="str">
        <f>I94</f>
        <v>x</v>
      </c>
      <c r="G94" s="71"/>
      <c r="H94" s="390"/>
      <c r="I94" s="71" t="s">
        <v>34</v>
      </c>
      <c r="J94" s="102"/>
      <c r="K94" s="35"/>
      <c r="L94" s="35"/>
      <c r="N94" s="399">
        <f t="shared" si="4"/>
        <v>0</v>
      </c>
    </row>
    <row r="95" spans="1:15" s="3" customFormat="1" ht="31.5" customHeight="1">
      <c r="A95" s="731" t="s">
        <v>657</v>
      </c>
      <c r="B95" s="731"/>
      <c r="C95" s="731"/>
      <c r="D95" s="731"/>
      <c r="E95" s="731"/>
      <c r="F95" s="731"/>
      <c r="G95" s="731"/>
      <c r="H95" s="401"/>
      <c r="I95" s="71"/>
      <c r="J95" s="102"/>
      <c r="K95" s="35"/>
      <c r="L95" s="35"/>
      <c r="N95" s="399"/>
    </row>
    <row r="96" spans="1:15" s="3" customFormat="1" ht="27" customHeight="1">
      <c r="A96" s="21" t="s">
        <v>58</v>
      </c>
      <c r="B96" s="21" t="s">
        <v>57</v>
      </c>
      <c r="C96" s="737" t="s">
        <v>181</v>
      </c>
      <c r="D96" s="737"/>
      <c r="E96" s="737"/>
      <c r="F96" s="737"/>
      <c r="G96" s="737"/>
      <c r="H96" s="737"/>
      <c r="I96" s="737"/>
      <c r="J96" s="102"/>
      <c r="K96" s="35"/>
      <c r="L96" s="35"/>
      <c r="N96" s="399">
        <f t="shared" si="4"/>
        <v>0</v>
      </c>
    </row>
    <row r="97" spans="1:21" s="1" customFormat="1" ht="18" customHeight="1">
      <c r="A97" s="64" t="s">
        <v>34</v>
      </c>
      <c r="B97" s="64" t="s">
        <v>98</v>
      </c>
      <c r="C97" s="736" t="s">
        <v>99</v>
      </c>
      <c r="D97" s="736"/>
      <c r="E97" s="736"/>
      <c r="F97" s="736"/>
      <c r="G97" s="736"/>
      <c r="H97" s="736"/>
      <c r="I97" s="736"/>
      <c r="J97" s="105"/>
      <c r="K97" s="739"/>
      <c r="L97" s="739"/>
      <c r="M97" s="3"/>
      <c r="N97" s="399">
        <f t="shared" si="4"/>
        <v>0</v>
      </c>
    </row>
    <row r="98" spans="1:21" s="1" customFormat="1" ht="27.75" customHeight="1">
      <c r="A98" s="86">
        <v>9</v>
      </c>
      <c r="B98" s="89" t="s">
        <v>209</v>
      </c>
      <c r="C98" s="111" t="s">
        <v>210</v>
      </c>
      <c r="D98" s="86" t="s">
        <v>176</v>
      </c>
      <c r="E98" s="87" t="s">
        <v>34</v>
      </c>
      <c r="F98" s="380">
        <f>I98</f>
        <v>20</v>
      </c>
      <c r="G98" s="87"/>
      <c r="H98" s="391"/>
      <c r="I98" s="87">
        <f>E99</f>
        <v>20</v>
      </c>
      <c r="J98" s="105"/>
      <c r="K98" s="104"/>
      <c r="L98" s="104"/>
      <c r="M98" s="3"/>
      <c r="N98" s="399">
        <f t="shared" si="4"/>
        <v>0</v>
      </c>
    </row>
    <row r="99" spans="1:21" s="1" customFormat="1" ht="69" hidden="1" customHeight="1">
      <c r="A99" s="86"/>
      <c r="B99" s="89"/>
      <c r="C99" s="110" t="s">
        <v>619</v>
      </c>
      <c r="D99" s="88" t="s">
        <v>177</v>
      </c>
      <c r="E99" s="84">
        <v>20</v>
      </c>
      <c r="F99" s="380" t="str">
        <f>I99</f>
        <v>x</v>
      </c>
      <c r="G99" s="84"/>
      <c r="H99" s="392"/>
      <c r="I99" s="84" t="s">
        <v>34</v>
      </c>
      <c r="J99" s="105"/>
      <c r="K99" s="104"/>
      <c r="L99" s="104"/>
      <c r="M99" s="140"/>
      <c r="N99" s="399">
        <f t="shared" si="4"/>
        <v>0</v>
      </c>
    </row>
    <row r="100" spans="1:21" s="1" customFormat="1" ht="18.75" customHeight="1">
      <c r="A100" s="64" t="s">
        <v>34</v>
      </c>
      <c r="B100" s="64" t="s">
        <v>114</v>
      </c>
      <c r="C100" s="736" t="s">
        <v>115</v>
      </c>
      <c r="D100" s="736"/>
      <c r="E100" s="736"/>
      <c r="F100" s="736"/>
      <c r="G100" s="736"/>
      <c r="H100" s="736"/>
      <c r="I100" s="736"/>
      <c r="J100" s="105"/>
      <c r="K100" s="104"/>
      <c r="L100" s="104"/>
      <c r="M100" s="3"/>
      <c r="N100" s="399">
        <f t="shared" si="4"/>
        <v>0</v>
      </c>
    </row>
    <row r="101" spans="1:21" s="1" customFormat="1" ht="21" customHeight="1">
      <c r="A101" s="86">
        <v>10</v>
      </c>
      <c r="B101" s="89" t="s">
        <v>162</v>
      </c>
      <c r="C101" s="111" t="s">
        <v>575</v>
      </c>
      <c r="D101" s="86" t="s">
        <v>176</v>
      </c>
      <c r="E101" s="87" t="s">
        <v>34</v>
      </c>
      <c r="F101" s="380">
        <f>I101</f>
        <v>713.55</v>
      </c>
      <c r="G101" s="87"/>
      <c r="H101" s="391"/>
      <c r="I101" s="87">
        <f>E102</f>
        <v>713.55</v>
      </c>
      <c r="J101" s="105"/>
      <c r="K101" s="104"/>
      <c r="L101" s="104"/>
      <c r="M101" s="3"/>
      <c r="N101" s="399">
        <f t="shared" si="4"/>
        <v>0</v>
      </c>
    </row>
    <row r="102" spans="1:21" s="1" customFormat="1" ht="95.25" hidden="1" customHeight="1">
      <c r="A102" s="86"/>
      <c r="B102" s="89"/>
      <c r="C102" s="110" t="s">
        <v>632</v>
      </c>
      <c r="D102" s="88" t="s">
        <v>177</v>
      </c>
      <c r="E102" s="84">
        <f>520.84+192.71</f>
        <v>713.55</v>
      </c>
      <c r="F102" s="380" t="str">
        <f>I102</f>
        <v>x</v>
      </c>
      <c r="G102" s="84"/>
      <c r="H102" s="392"/>
      <c r="I102" s="84" t="s">
        <v>34</v>
      </c>
      <c r="J102" s="105"/>
      <c r="K102" s="104"/>
      <c r="L102" s="104"/>
      <c r="N102" s="399">
        <f t="shared" si="4"/>
        <v>0</v>
      </c>
      <c r="P102" s="1">
        <f>(624.29-156.21)*1.07</f>
        <v>500.84559999999999</v>
      </c>
      <c r="Q102" s="1">
        <f>98.2*1.1</f>
        <v>108.02</v>
      </c>
      <c r="S102" s="1">
        <f>262.46+172.78</f>
        <v>435.24</v>
      </c>
      <c r="U102" s="1">
        <f>(411-97)+(388.5-72)</f>
        <v>630.5</v>
      </c>
    </row>
    <row r="103" spans="1:21" s="1" customFormat="1" ht="19.5" hidden="1" customHeight="1">
      <c r="A103" s="64" t="s">
        <v>34</v>
      </c>
      <c r="B103" s="64" t="s">
        <v>17</v>
      </c>
      <c r="C103" s="736" t="s">
        <v>18</v>
      </c>
      <c r="D103" s="736"/>
      <c r="E103" s="736"/>
      <c r="F103" s="736"/>
      <c r="G103" s="736"/>
      <c r="H103" s="736"/>
      <c r="I103" s="736"/>
      <c r="J103" s="105"/>
      <c r="K103" s="104"/>
      <c r="L103" s="104"/>
      <c r="N103" s="399">
        <f t="shared" si="4"/>
        <v>0</v>
      </c>
    </row>
    <row r="104" spans="1:21" s="1" customFormat="1" ht="19.5" hidden="1" customHeight="1">
      <c r="A104" s="86">
        <v>28</v>
      </c>
      <c r="B104" s="90" t="s">
        <v>478</v>
      </c>
      <c r="C104" s="111" t="s">
        <v>477</v>
      </c>
      <c r="D104" s="86" t="s">
        <v>176</v>
      </c>
      <c r="E104" s="87" t="s">
        <v>34</v>
      </c>
      <c r="F104" s="36"/>
      <c r="G104" s="87"/>
      <c r="H104" s="391"/>
      <c r="I104" s="87">
        <f>E105</f>
        <v>424.62</v>
      </c>
      <c r="J104" s="105"/>
      <c r="K104" s="104"/>
      <c r="L104" s="104"/>
      <c r="N104" s="399">
        <f t="shared" si="4"/>
        <v>0</v>
      </c>
    </row>
    <row r="105" spans="1:21" s="1" customFormat="1" ht="89.25" hidden="1" customHeight="1">
      <c r="A105" s="88"/>
      <c r="B105" s="91"/>
      <c r="C105" s="110" t="s">
        <v>479</v>
      </c>
      <c r="D105" s="88" t="s">
        <v>177</v>
      </c>
      <c r="E105" s="84">
        <f>114+89.2+135.91+85.51</f>
        <v>424.62</v>
      </c>
      <c r="F105" s="386"/>
      <c r="G105" s="84"/>
      <c r="H105" s="392"/>
      <c r="I105" s="84" t="s">
        <v>34</v>
      </c>
      <c r="J105" s="105"/>
      <c r="K105" s="104"/>
      <c r="L105" s="104"/>
      <c r="N105" s="399">
        <f t="shared" si="4"/>
        <v>0</v>
      </c>
      <c r="P105" s="1">
        <f>114</f>
        <v>114</v>
      </c>
      <c r="Q105" s="1">
        <f>98.2</f>
        <v>98.2</v>
      </c>
      <c r="R105" s="1">
        <v>135.91</v>
      </c>
      <c r="S105" s="1">
        <v>85.51</v>
      </c>
    </row>
    <row r="106" spans="1:21" s="8" customFormat="1" ht="18.75" hidden="1" customHeight="1">
      <c r="A106" s="86">
        <v>29</v>
      </c>
      <c r="B106" s="90" t="s">
        <v>163</v>
      </c>
      <c r="C106" s="111" t="s">
        <v>480</v>
      </c>
      <c r="D106" s="86" t="s">
        <v>176</v>
      </c>
      <c r="E106" s="87" t="s">
        <v>34</v>
      </c>
      <c r="F106" s="36"/>
      <c r="G106" s="87"/>
      <c r="H106" s="391"/>
      <c r="I106" s="87">
        <f>E107</f>
        <v>203.2</v>
      </c>
      <c r="J106" s="112"/>
      <c r="K106" s="738"/>
      <c r="L106" s="738"/>
      <c r="M106" s="1"/>
      <c r="N106" s="399">
        <f t="shared" si="4"/>
        <v>0</v>
      </c>
    </row>
    <row r="107" spans="1:21" s="11" customFormat="1" ht="43.5" hidden="1" customHeight="1">
      <c r="A107" s="88"/>
      <c r="B107" s="91"/>
      <c r="C107" s="110" t="s">
        <v>481</v>
      </c>
      <c r="D107" s="88" t="s">
        <v>177</v>
      </c>
      <c r="E107" s="84">
        <f>203.2</f>
        <v>203.2</v>
      </c>
      <c r="F107" s="386"/>
      <c r="G107" s="84"/>
      <c r="H107" s="392"/>
      <c r="I107" s="84" t="s">
        <v>34</v>
      </c>
      <c r="J107" s="113"/>
      <c r="K107" s="35">
        <v>1.26</v>
      </c>
      <c r="L107" s="35">
        <f>K107*I106</f>
        <v>256.02999999999997</v>
      </c>
      <c r="M107" s="1"/>
      <c r="N107" s="399">
        <f t="shared" si="4"/>
        <v>0</v>
      </c>
    </row>
    <row r="108" spans="1:21" s="11" customFormat="1" ht="18.75" hidden="1" customHeight="1">
      <c r="A108" s="86">
        <v>30</v>
      </c>
      <c r="B108" s="89" t="s">
        <v>164</v>
      </c>
      <c r="C108" s="111" t="s">
        <v>165</v>
      </c>
      <c r="D108" s="86" t="s">
        <v>176</v>
      </c>
      <c r="E108" s="87" t="s">
        <v>34</v>
      </c>
      <c r="F108" s="36"/>
      <c r="G108" s="87"/>
      <c r="H108" s="391"/>
      <c r="I108" s="87">
        <f>E109</f>
        <v>424.62</v>
      </c>
      <c r="J108" s="113"/>
      <c r="K108" s="35"/>
      <c r="L108" s="35"/>
      <c r="M108" s="1"/>
      <c r="N108" s="399">
        <f t="shared" si="4"/>
        <v>0</v>
      </c>
    </row>
    <row r="109" spans="1:21" s="11" customFormat="1" ht="94.5" hidden="1" customHeight="1">
      <c r="A109" s="86"/>
      <c r="B109" s="91"/>
      <c r="C109" s="147" t="s">
        <v>482</v>
      </c>
      <c r="D109" s="88" t="s">
        <v>177</v>
      </c>
      <c r="E109" s="84">
        <f>E105</f>
        <v>424.62</v>
      </c>
      <c r="F109" s="386"/>
      <c r="G109" s="84"/>
      <c r="H109" s="392"/>
      <c r="I109" s="87" t="s">
        <v>34</v>
      </c>
      <c r="J109" s="113"/>
      <c r="K109" s="35"/>
      <c r="L109" s="35"/>
      <c r="M109" s="1"/>
      <c r="N109" s="399">
        <f t="shared" si="4"/>
        <v>0</v>
      </c>
    </row>
    <row r="110" spans="1:21" s="8" customFormat="1" ht="17.25" hidden="1" customHeight="1">
      <c r="A110" s="86">
        <v>31</v>
      </c>
      <c r="B110" s="89" t="s">
        <v>73</v>
      </c>
      <c r="C110" s="111" t="s">
        <v>72</v>
      </c>
      <c r="D110" s="86" t="s">
        <v>176</v>
      </c>
      <c r="E110" s="87" t="s">
        <v>34</v>
      </c>
      <c r="F110" s="36"/>
      <c r="G110" s="87"/>
      <c r="H110" s="391"/>
      <c r="I110" s="87">
        <f>E111</f>
        <v>203.2</v>
      </c>
      <c r="J110" s="106"/>
      <c r="K110" s="36"/>
      <c r="L110" s="36"/>
      <c r="M110" s="1"/>
      <c r="N110" s="399">
        <f t="shared" si="4"/>
        <v>0</v>
      </c>
    </row>
    <row r="111" spans="1:21" s="8" customFormat="1" ht="42" hidden="1" customHeight="1">
      <c r="A111" s="86"/>
      <c r="B111" s="91"/>
      <c r="C111" s="110" t="s">
        <v>483</v>
      </c>
      <c r="D111" s="88" t="s">
        <v>177</v>
      </c>
      <c r="E111" s="84">
        <f>E107</f>
        <v>203.2</v>
      </c>
      <c r="F111" s="386"/>
      <c r="G111" s="84"/>
      <c r="H111" s="392"/>
      <c r="I111" s="87" t="s">
        <v>34</v>
      </c>
      <c r="J111" s="106"/>
      <c r="K111" s="36"/>
      <c r="L111" s="36"/>
      <c r="M111" s="1"/>
      <c r="N111" s="399">
        <f t="shared" si="4"/>
        <v>0</v>
      </c>
    </row>
    <row r="112" spans="1:21" s="8" customFormat="1" ht="18" customHeight="1">
      <c r="A112" s="64" t="s">
        <v>34</v>
      </c>
      <c r="B112" s="64" t="s">
        <v>19</v>
      </c>
      <c r="C112" s="736" t="s">
        <v>20</v>
      </c>
      <c r="D112" s="736"/>
      <c r="E112" s="736"/>
      <c r="F112" s="736"/>
      <c r="G112" s="736"/>
      <c r="H112" s="736"/>
      <c r="I112" s="736"/>
      <c r="J112" s="106"/>
      <c r="K112" s="36"/>
      <c r="L112" s="36"/>
      <c r="M112" s="1"/>
      <c r="N112" s="399">
        <f t="shared" si="4"/>
        <v>0</v>
      </c>
    </row>
    <row r="113" spans="1:106" s="8" customFormat="1" ht="30" customHeight="1">
      <c r="A113" s="86">
        <v>11</v>
      </c>
      <c r="B113" s="90" t="s">
        <v>489</v>
      </c>
      <c r="C113" s="114" t="s">
        <v>490</v>
      </c>
      <c r="D113" s="86" t="s">
        <v>176</v>
      </c>
      <c r="E113" s="87" t="s">
        <v>34</v>
      </c>
      <c r="F113" s="380">
        <f>I113</f>
        <v>520.84</v>
      </c>
      <c r="G113" s="87"/>
      <c r="H113" s="391"/>
      <c r="I113" s="87">
        <f>SUM(E114:E114)</f>
        <v>520.84</v>
      </c>
      <c r="J113" s="106"/>
      <c r="K113" s="36"/>
      <c r="L113" s="36"/>
      <c r="M113" s="1"/>
      <c r="N113" s="399">
        <f t="shared" si="4"/>
        <v>0</v>
      </c>
    </row>
    <row r="114" spans="1:106" s="8" customFormat="1" ht="51.75" hidden="1" customHeight="1">
      <c r="A114" s="86"/>
      <c r="B114" s="91"/>
      <c r="C114" s="110" t="s">
        <v>627</v>
      </c>
      <c r="D114" s="88" t="s">
        <v>177</v>
      </c>
      <c r="E114" s="84">
        <v>520.84</v>
      </c>
      <c r="F114" s="380" t="str">
        <f>I114</f>
        <v>x</v>
      </c>
      <c r="G114" s="84"/>
      <c r="H114" s="392"/>
      <c r="I114" s="87" t="s">
        <v>34</v>
      </c>
      <c r="J114" s="106"/>
      <c r="K114" s="36"/>
      <c r="L114" s="36"/>
      <c r="M114" s="1"/>
      <c r="N114" s="399">
        <f t="shared" si="4"/>
        <v>0</v>
      </c>
    </row>
    <row r="115" spans="1:106" s="8" customFormat="1" ht="29.25" hidden="1" customHeight="1">
      <c r="A115" s="86">
        <v>33</v>
      </c>
      <c r="B115" s="90" t="s">
        <v>484</v>
      </c>
      <c r="C115" s="114" t="s">
        <v>485</v>
      </c>
      <c r="D115" s="86" t="s">
        <v>176</v>
      </c>
      <c r="E115" s="87" t="s">
        <v>34</v>
      </c>
      <c r="F115" s="36"/>
      <c r="G115" s="87"/>
      <c r="H115" s="391"/>
      <c r="I115" s="87">
        <f>SUM(E116:E116)</f>
        <v>203.2</v>
      </c>
      <c r="J115" s="112"/>
      <c r="K115" s="738"/>
      <c r="L115" s="738"/>
      <c r="N115" s="399">
        <f t="shared" si="4"/>
        <v>0</v>
      </c>
    </row>
    <row r="116" spans="1:106" s="8" customFormat="1" ht="47.25" hidden="1" customHeight="1">
      <c r="A116" s="86"/>
      <c r="B116" s="91"/>
      <c r="C116" s="110" t="s">
        <v>486</v>
      </c>
      <c r="D116" s="88" t="s">
        <v>177</v>
      </c>
      <c r="E116" s="84">
        <f>114+89.2</f>
        <v>203.2</v>
      </c>
      <c r="F116" s="386"/>
      <c r="G116" s="84"/>
      <c r="H116" s="392"/>
      <c r="I116" s="87" t="s">
        <v>34</v>
      </c>
      <c r="J116" s="112"/>
      <c r="K116" s="262"/>
      <c r="L116" s="262"/>
      <c r="N116" s="399">
        <f t="shared" si="4"/>
        <v>0</v>
      </c>
    </row>
    <row r="117" spans="1:106" s="8" customFormat="1" ht="21" customHeight="1">
      <c r="A117" s="64" t="s">
        <v>34</v>
      </c>
      <c r="B117" s="64" t="s">
        <v>166</v>
      </c>
      <c r="C117" s="736" t="s">
        <v>487</v>
      </c>
      <c r="D117" s="736"/>
      <c r="E117" s="736"/>
      <c r="F117" s="736"/>
      <c r="G117" s="736"/>
      <c r="H117" s="736"/>
      <c r="I117" s="736"/>
      <c r="J117" s="112"/>
      <c r="K117" s="262"/>
      <c r="L117" s="262"/>
      <c r="N117" s="399">
        <f t="shared" si="4"/>
        <v>0</v>
      </c>
    </row>
    <row r="118" spans="1:106" s="8" customFormat="1" ht="30.75" customHeight="1">
      <c r="A118" s="86">
        <v>12</v>
      </c>
      <c r="B118" s="90" t="s">
        <v>211</v>
      </c>
      <c r="C118" s="114" t="s">
        <v>488</v>
      </c>
      <c r="D118" s="86" t="s">
        <v>176</v>
      </c>
      <c r="E118" s="87" t="s">
        <v>34</v>
      </c>
      <c r="F118" s="380">
        <f>I118</f>
        <v>192.71</v>
      </c>
      <c r="G118" s="87"/>
      <c r="H118" s="391"/>
      <c r="I118" s="87">
        <f>SUM(E119:E119)</f>
        <v>192.71</v>
      </c>
      <c r="J118" s="112"/>
      <c r="K118" s="262"/>
      <c r="L118" s="262"/>
      <c r="N118" s="399">
        <f t="shared" si="4"/>
        <v>0</v>
      </c>
    </row>
    <row r="119" spans="1:106" s="8" customFormat="1" ht="45.75" hidden="1" customHeight="1">
      <c r="A119" s="86"/>
      <c r="B119" s="91"/>
      <c r="C119" s="110" t="s">
        <v>631</v>
      </c>
      <c r="D119" s="88" t="s">
        <v>177</v>
      </c>
      <c r="E119" s="84">
        <v>192.71</v>
      </c>
      <c r="F119" s="380" t="str">
        <f>I119</f>
        <v>x</v>
      </c>
      <c r="G119" s="84"/>
      <c r="H119" s="392"/>
      <c r="I119" s="87" t="s">
        <v>34</v>
      </c>
      <c r="J119" s="112"/>
      <c r="K119" s="262"/>
      <c r="L119" s="262"/>
      <c r="N119" s="399">
        <f t="shared" si="4"/>
        <v>0</v>
      </c>
    </row>
    <row r="120" spans="1:106" s="8" customFormat="1" ht="29.25" hidden="1" customHeight="1">
      <c r="A120" s="289">
        <v>35</v>
      </c>
      <c r="B120" s="344" t="s">
        <v>491</v>
      </c>
      <c r="C120" s="345" t="s">
        <v>492</v>
      </c>
      <c r="D120" s="289" t="s">
        <v>569</v>
      </c>
      <c r="E120" s="158" t="s">
        <v>34</v>
      </c>
      <c r="F120" s="313"/>
      <c r="G120" s="158"/>
      <c r="H120" s="395"/>
      <c r="I120" s="158">
        <f>SUM(E121:E121)</f>
        <v>489.64</v>
      </c>
      <c r="J120" s="106"/>
      <c r="K120" s="35"/>
      <c r="L120" s="35"/>
      <c r="N120" s="399">
        <f t="shared" si="4"/>
        <v>0</v>
      </c>
    </row>
    <row r="121" spans="1:106" s="8" customFormat="1" ht="80.25" hidden="1" customHeight="1">
      <c r="A121" s="289"/>
      <c r="B121" s="346"/>
      <c r="C121" s="347" t="s">
        <v>493</v>
      </c>
      <c r="D121" s="348" t="s">
        <v>570</v>
      </c>
      <c r="E121" s="349">
        <f>135.91+85.51+(114+89.2)*1.32</f>
        <v>489.64</v>
      </c>
      <c r="F121" s="387"/>
      <c r="G121" s="349"/>
      <c r="H121" s="396"/>
      <c r="I121" s="158" t="s">
        <v>34</v>
      </c>
      <c r="J121" s="106"/>
      <c r="K121" s="35"/>
      <c r="L121" s="35"/>
      <c r="N121" s="399">
        <f t="shared" si="4"/>
        <v>0</v>
      </c>
      <c r="O121" s="8">
        <f>135.91+85.51</f>
        <v>221.42</v>
      </c>
      <c r="P121" s="8">
        <f>(114+89.2)*1.32</f>
        <v>268.22399999999999</v>
      </c>
    </row>
    <row r="122" spans="1:106" s="8" customFormat="1" ht="27.75" customHeight="1">
      <c r="A122" s="731" t="s">
        <v>659</v>
      </c>
      <c r="B122" s="731"/>
      <c r="C122" s="731"/>
      <c r="D122" s="731"/>
      <c r="E122" s="731"/>
      <c r="F122" s="731"/>
      <c r="G122" s="731"/>
      <c r="H122" s="401"/>
      <c r="I122" s="158"/>
      <c r="J122" s="106"/>
      <c r="K122" s="35"/>
      <c r="L122" s="35"/>
      <c r="N122" s="399"/>
    </row>
    <row r="123" spans="1:106" s="8" customFormat="1" ht="27.75" customHeight="1">
      <c r="A123" s="21" t="s">
        <v>48</v>
      </c>
      <c r="B123" s="21" t="s">
        <v>59</v>
      </c>
      <c r="C123" s="737" t="s">
        <v>182</v>
      </c>
      <c r="D123" s="737"/>
      <c r="E123" s="737"/>
      <c r="F123" s="737"/>
      <c r="G123" s="737"/>
      <c r="H123" s="737"/>
      <c r="I123" s="737"/>
      <c r="J123" s="106"/>
      <c r="K123" s="36"/>
      <c r="L123" s="36"/>
      <c r="N123" s="399">
        <f t="shared" si="4"/>
        <v>0</v>
      </c>
    </row>
    <row r="124" spans="1:106" s="8" customFormat="1" ht="18" hidden="1" customHeight="1">
      <c r="A124" s="64" t="s">
        <v>34</v>
      </c>
      <c r="B124" s="64" t="s">
        <v>116</v>
      </c>
      <c r="C124" s="736" t="s">
        <v>128</v>
      </c>
      <c r="D124" s="736" t="s">
        <v>8</v>
      </c>
      <c r="E124" s="736"/>
      <c r="F124" s="736"/>
      <c r="G124" s="736"/>
      <c r="H124" s="736"/>
      <c r="I124" s="736"/>
      <c r="J124" s="106"/>
      <c r="K124" s="36"/>
      <c r="L124" s="36"/>
      <c r="N124" s="399">
        <f t="shared" si="4"/>
        <v>0</v>
      </c>
    </row>
    <row r="125" spans="1:106" s="8" customFormat="1" ht="20.25" hidden="1" customHeight="1">
      <c r="A125" s="86">
        <v>36</v>
      </c>
      <c r="B125" s="89" t="s">
        <v>213</v>
      </c>
      <c r="C125" s="111" t="s">
        <v>212</v>
      </c>
      <c r="D125" s="86" t="s">
        <v>176</v>
      </c>
      <c r="E125" s="87" t="s">
        <v>34</v>
      </c>
      <c r="F125" s="36"/>
      <c r="G125" s="87"/>
      <c r="H125" s="391"/>
      <c r="I125" s="77">
        <f>SUM(E126:E126)</f>
        <v>42.07</v>
      </c>
      <c r="J125" s="106"/>
      <c r="K125" s="36"/>
      <c r="L125" s="36"/>
      <c r="N125" s="399">
        <f t="shared" si="4"/>
        <v>0</v>
      </c>
    </row>
    <row r="126" spans="1:106" s="8" customFormat="1" ht="81" hidden="1" customHeight="1">
      <c r="A126" s="88"/>
      <c r="B126" s="91"/>
      <c r="C126" s="110" t="s">
        <v>577</v>
      </c>
      <c r="D126" s="88" t="s">
        <v>177</v>
      </c>
      <c r="E126" s="84">
        <v>42.07</v>
      </c>
      <c r="F126" s="386"/>
      <c r="G126" s="84"/>
      <c r="H126" s="392"/>
      <c r="I126" s="84" t="s">
        <v>34</v>
      </c>
      <c r="J126" s="106"/>
      <c r="K126" s="36"/>
      <c r="L126" s="36"/>
      <c r="N126" s="399">
        <f t="shared" si="4"/>
        <v>0</v>
      </c>
    </row>
    <row r="127" spans="1:106" s="16" customFormat="1" ht="18.75" customHeight="1">
      <c r="A127" s="64" t="s">
        <v>34</v>
      </c>
      <c r="B127" s="64" t="s">
        <v>21</v>
      </c>
      <c r="C127" s="736" t="s">
        <v>22</v>
      </c>
      <c r="D127" s="736" t="s">
        <v>8</v>
      </c>
      <c r="E127" s="736"/>
      <c r="F127" s="736"/>
      <c r="G127" s="736"/>
      <c r="H127" s="736"/>
      <c r="I127" s="736"/>
      <c r="J127" s="157"/>
      <c r="K127" s="739"/>
      <c r="L127" s="739"/>
      <c r="M127" s="8"/>
      <c r="N127" s="399">
        <f t="shared" si="4"/>
        <v>0</v>
      </c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</row>
    <row r="128" spans="1:106" s="16" customFormat="1" ht="20.25" hidden="1" customHeight="1">
      <c r="A128" s="86">
        <v>36</v>
      </c>
      <c r="B128" s="90" t="s">
        <v>220</v>
      </c>
      <c r="C128" s="111" t="s">
        <v>494</v>
      </c>
      <c r="D128" s="86" t="s">
        <v>176</v>
      </c>
      <c r="E128" s="87" t="s">
        <v>34</v>
      </c>
      <c r="F128" s="36"/>
      <c r="G128" s="87"/>
      <c r="H128" s="391"/>
      <c r="I128" s="77">
        <f>SUM(E129:E129)</f>
        <v>203.2</v>
      </c>
      <c r="J128" s="157"/>
      <c r="K128" s="104"/>
      <c r="L128" s="104"/>
      <c r="M128" s="8"/>
      <c r="N128" s="399">
        <f t="shared" si="4"/>
        <v>0</v>
      </c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</row>
    <row r="129" spans="1:106" s="16" customFormat="1" ht="51" hidden="1" customHeight="1">
      <c r="A129" s="88"/>
      <c r="B129" s="91"/>
      <c r="C129" s="110" t="s">
        <v>495</v>
      </c>
      <c r="D129" s="88" t="s">
        <v>177</v>
      </c>
      <c r="E129" s="84">
        <f>114+89.2</f>
        <v>203.2</v>
      </c>
      <c r="F129" s="386"/>
      <c r="G129" s="84"/>
      <c r="H129" s="392"/>
      <c r="I129" s="84" t="s">
        <v>34</v>
      </c>
      <c r="J129" s="157"/>
      <c r="K129" s="104"/>
      <c r="L129" s="104"/>
      <c r="M129" s="8"/>
      <c r="N129" s="399">
        <f t="shared" si="4"/>
        <v>0</v>
      </c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</row>
    <row r="130" spans="1:106" s="204" customFormat="1" ht="18" customHeight="1">
      <c r="A130" s="86">
        <v>13</v>
      </c>
      <c r="B130" s="90" t="s">
        <v>220</v>
      </c>
      <c r="C130" s="111" t="s">
        <v>574</v>
      </c>
      <c r="D130" s="86" t="s">
        <v>176</v>
      </c>
      <c r="E130" s="87" t="s">
        <v>34</v>
      </c>
      <c r="F130" s="380">
        <f>I130</f>
        <v>30</v>
      </c>
      <c r="G130" s="87"/>
      <c r="H130" s="391"/>
      <c r="I130" s="77">
        <f>SUM(E131:E131)</f>
        <v>30</v>
      </c>
      <c r="J130" s="377"/>
      <c r="K130" s="738"/>
      <c r="L130" s="738"/>
      <c r="M130" s="8"/>
      <c r="N130" s="399">
        <f t="shared" ref="N130:N187" si="5">H130</f>
        <v>0</v>
      </c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</row>
    <row r="131" spans="1:106" s="204" customFormat="1" ht="55.5" hidden="1" customHeight="1">
      <c r="A131" s="88"/>
      <c r="B131" s="91"/>
      <c r="C131" s="110" t="s">
        <v>646</v>
      </c>
      <c r="D131" s="88" t="s">
        <v>177</v>
      </c>
      <c r="E131" s="84">
        <f>15+15</f>
        <v>30</v>
      </c>
      <c r="F131" s="380" t="str">
        <f>I131</f>
        <v>x</v>
      </c>
      <c r="G131" s="84"/>
      <c r="H131" s="392"/>
      <c r="I131" s="84" t="s">
        <v>34</v>
      </c>
      <c r="J131" s="377"/>
      <c r="K131" s="35">
        <v>24.73</v>
      </c>
      <c r="L131" s="35">
        <f>K131*I130</f>
        <v>741.9</v>
      </c>
      <c r="M131" s="8"/>
      <c r="N131" s="399">
        <f t="shared" si="5"/>
        <v>0</v>
      </c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</row>
    <row r="132" spans="1:106" s="204" customFormat="1" ht="19.5" customHeight="1">
      <c r="A132" s="86">
        <v>14</v>
      </c>
      <c r="B132" s="89" t="s">
        <v>221</v>
      </c>
      <c r="C132" s="111" t="s">
        <v>215</v>
      </c>
      <c r="D132" s="86" t="s">
        <v>176</v>
      </c>
      <c r="E132" s="87" t="s">
        <v>34</v>
      </c>
      <c r="F132" s="380">
        <f>I132</f>
        <v>44</v>
      </c>
      <c r="G132" s="87"/>
      <c r="H132" s="391"/>
      <c r="I132" s="77">
        <f>SUM(E133:E133)</f>
        <v>44</v>
      </c>
      <c r="J132" s="377"/>
      <c r="K132" s="35"/>
      <c r="L132" s="35"/>
      <c r="M132" s="8"/>
      <c r="N132" s="399">
        <f t="shared" si="5"/>
        <v>0</v>
      </c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</row>
    <row r="133" spans="1:106" s="204" customFormat="1" ht="57.75" hidden="1" customHeight="1">
      <c r="A133" s="88"/>
      <c r="B133" s="91"/>
      <c r="C133" s="110" t="s">
        <v>645</v>
      </c>
      <c r="D133" s="88" t="s">
        <v>177</v>
      </c>
      <c r="E133" s="84">
        <f>15+15+14</f>
        <v>44</v>
      </c>
      <c r="F133" s="380" t="str">
        <f>I133</f>
        <v>x</v>
      </c>
      <c r="G133" s="84"/>
      <c r="H133" s="392"/>
      <c r="I133" s="84" t="s">
        <v>34</v>
      </c>
      <c r="J133" s="377"/>
      <c r="K133" s="35"/>
      <c r="L133" s="35"/>
      <c r="M133" s="8"/>
      <c r="N133" s="399">
        <f t="shared" si="5"/>
        <v>0</v>
      </c>
      <c r="O133" s="58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</row>
    <row r="134" spans="1:106" s="16" customFormat="1" ht="22.5" hidden="1" customHeight="1">
      <c r="A134" s="86">
        <v>38</v>
      </c>
      <c r="B134" s="89" t="s">
        <v>221</v>
      </c>
      <c r="C134" s="111" t="s">
        <v>216</v>
      </c>
      <c r="D134" s="86" t="s">
        <v>176</v>
      </c>
      <c r="E134" s="87" t="s">
        <v>34</v>
      </c>
      <c r="F134" s="36"/>
      <c r="G134" s="87"/>
      <c r="H134" s="391"/>
      <c r="I134" s="77">
        <f>SUM(E135:E135)</f>
        <v>197.75</v>
      </c>
      <c r="J134" s="157"/>
      <c r="K134" s="37"/>
      <c r="L134" s="37"/>
      <c r="M134" s="8"/>
      <c r="N134" s="399">
        <f t="shared" si="5"/>
        <v>0</v>
      </c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</row>
    <row r="135" spans="1:106" s="16" customFormat="1" ht="45" hidden="1" customHeight="1">
      <c r="A135" s="88"/>
      <c r="B135" s="91"/>
      <c r="C135" s="110" t="s">
        <v>497</v>
      </c>
      <c r="D135" s="88" t="s">
        <v>177</v>
      </c>
      <c r="E135" s="84">
        <f>121.4+76.35</f>
        <v>197.75</v>
      </c>
      <c r="F135" s="386"/>
      <c r="G135" s="84"/>
      <c r="H135" s="392"/>
      <c r="I135" s="84" t="s">
        <v>34</v>
      </c>
      <c r="J135" s="157"/>
      <c r="K135" s="37"/>
      <c r="L135" s="37"/>
      <c r="M135" s="8"/>
      <c r="N135" s="399">
        <f t="shared" si="5"/>
        <v>0</v>
      </c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</row>
    <row r="136" spans="1:106" s="16" customFormat="1" ht="17.25" customHeight="1">
      <c r="A136" s="64" t="s">
        <v>34</v>
      </c>
      <c r="B136" s="64" t="s">
        <v>331</v>
      </c>
      <c r="C136" s="736" t="s">
        <v>332</v>
      </c>
      <c r="D136" s="736" t="s">
        <v>8</v>
      </c>
      <c r="E136" s="736"/>
      <c r="F136" s="736"/>
      <c r="G136" s="736"/>
      <c r="H136" s="736"/>
      <c r="I136" s="736"/>
      <c r="J136" s="157"/>
      <c r="K136" s="37"/>
      <c r="L136" s="37"/>
      <c r="M136" s="8"/>
      <c r="N136" s="399">
        <f t="shared" si="5"/>
        <v>0</v>
      </c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</row>
    <row r="137" spans="1:106" s="16" customFormat="1" ht="22.5" customHeight="1">
      <c r="A137" s="86">
        <v>15</v>
      </c>
      <c r="B137" s="89" t="s">
        <v>333</v>
      </c>
      <c r="C137" s="111" t="s">
        <v>334</v>
      </c>
      <c r="D137" s="86" t="s">
        <v>176</v>
      </c>
      <c r="E137" s="87" t="s">
        <v>34</v>
      </c>
      <c r="F137" s="380">
        <f>I137</f>
        <v>44</v>
      </c>
      <c r="G137" s="87"/>
      <c r="H137" s="391"/>
      <c r="I137" s="87">
        <f>E138</f>
        <v>44</v>
      </c>
      <c r="J137" s="157"/>
      <c r="K137" s="37"/>
      <c r="L137" s="37"/>
      <c r="M137" s="8"/>
      <c r="N137" s="399">
        <f t="shared" si="5"/>
        <v>0</v>
      </c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</row>
    <row r="138" spans="1:106" s="16" customFormat="1" ht="46.5" hidden="1" customHeight="1">
      <c r="A138" s="88"/>
      <c r="B138" s="91"/>
      <c r="C138" s="110" t="s">
        <v>647</v>
      </c>
      <c r="D138" s="88" t="s">
        <v>177</v>
      </c>
      <c r="E138" s="84">
        <v>44</v>
      </c>
      <c r="F138" s="380" t="str">
        <f>I138</f>
        <v>x</v>
      </c>
      <c r="G138" s="84"/>
      <c r="H138" s="392"/>
      <c r="I138" s="84" t="s">
        <v>34</v>
      </c>
      <c r="J138" s="157"/>
      <c r="K138" s="37"/>
      <c r="L138" s="37"/>
      <c r="M138" s="8"/>
      <c r="N138" s="399">
        <f t="shared" si="5"/>
        <v>0</v>
      </c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</row>
    <row r="139" spans="1:106" s="16" customFormat="1" ht="27.75" customHeight="1">
      <c r="A139" s="731" t="s">
        <v>661</v>
      </c>
      <c r="B139" s="731"/>
      <c r="C139" s="731"/>
      <c r="D139" s="731"/>
      <c r="E139" s="731"/>
      <c r="F139" s="731"/>
      <c r="G139" s="731"/>
      <c r="H139" s="401"/>
      <c r="I139" s="84"/>
      <c r="J139" s="157"/>
      <c r="K139" s="37"/>
      <c r="L139" s="37"/>
      <c r="M139" s="8"/>
      <c r="N139" s="399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</row>
    <row r="140" spans="1:106" s="41" customFormat="1" ht="25.5">
      <c r="A140" s="21" t="s">
        <v>49</v>
      </c>
      <c r="B140" s="21" t="s">
        <v>60</v>
      </c>
      <c r="C140" s="737" t="s">
        <v>183</v>
      </c>
      <c r="D140" s="737" t="s">
        <v>8</v>
      </c>
      <c r="E140" s="737"/>
      <c r="F140" s="737"/>
      <c r="G140" s="737"/>
      <c r="H140" s="737"/>
      <c r="I140" s="737"/>
      <c r="J140" s="377"/>
      <c r="K140" s="37"/>
      <c r="L140" s="37"/>
      <c r="M140" s="14"/>
      <c r="N140" s="399">
        <f t="shared" si="5"/>
        <v>0</v>
      </c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</row>
    <row r="141" spans="1:106" s="8" customFormat="1" ht="19.5" hidden="1" customHeight="1">
      <c r="A141" s="64" t="s">
        <v>34</v>
      </c>
      <c r="B141" s="64" t="s">
        <v>23</v>
      </c>
      <c r="C141" s="736" t="s">
        <v>167</v>
      </c>
      <c r="D141" s="736" t="s">
        <v>8</v>
      </c>
      <c r="E141" s="736"/>
      <c r="F141" s="736"/>
      <c r="G141" s="736"/>
      <c r="H141" s="736"/>
      <c r="I141" s="736"/>
      <c r="J141" s="116"/>
      <c r="K141" s="739"/>
      <c r="L141" s="739"/>
      <c r="M141" s="40"/>
      <c r="N141" s="399">
        <f t="shared" si="5"/>
        <v>0</v>
      </c>
    </row>
    <row r="142" spans="1:106" s="11" customFormat="1" ht="15.75" hidden="1" customHeight="1">
      <c r="A142" s="86">
        <v>41</v>
      </c>
      <c r="B142" s="90" t="s">
        <v>0</v>
      </c>
      <c r="C142" s="111" t="s">
        <v>74</v>
      </c>
      <c r="D142" s="86" t="s">
        <v>176</v>
      </c>
      <c r="E142" s="87" t="s">
        <v>34</v>
      </c>
      <c r="F142" s="36"/>
      <c r="G142" s="87"/>
      <c r="H142" s="391"/>
      <c r="I142" s="87">
        <f>E143</f>
        <v>0</v>
      </c>
      <c r="J142" s="115"/>
      <c r="K142" s="738"/>
      <c r="L142" s="738"/>
      <c r="M142" s="40"/>
      <c r="N142" s="399">
        <f t="shared" si="5"/>
        <v>0</v>
      </c>
    </row>
    <row r="143" spans="1:106" s="8" customFormat="1" ht="57" hidden="1" customHeight="1">
      <c r="A143" s="86"/>
      <c r="B143" s="90"/>
      <c r="C143" s="110" t="s">
        <v>498</v>
      </c>
      <c r="D143" s="88" t="s">
        <v>177</v>
      </c>
      <c r="E143" s="84">
        <v>0</v>
      </c>
      <c r="F143" s="386"/>
      <c r="G143" s="84"/>
      <c r="H143" s="392"/>
      <c r="I143" s="84" t="s">
        <v>34</v>
      </c>
      <c r="J143" s="116"/>
      <c r="K143" s="35">
        <v>14.94</v>
      </c>
      <c r="L143" s="35">
        <f>K143*I142</f>
        <v>0</v>
      </c>
      <c r="M143" s="14"/>
      <c r="N143" s="399">
        <f t="shared" si="5"/>
        <v>0</v>
      </c>
    </row>
    <row r="144" spans="1:106" s="8" customFormat="1" ht="38.25" hidden="1">
      <c r="A144" s="88" t="s">
        <v>230</v>
      </c>
      <c r="B144" s="91" t="s">
        <v>0</v>
      </c>
      <c r="C144" s="110" t="s">
        <v>499</v>
      </c>
      <c r="D144" s="88" t="s">
        <v>177</v>
      </c>
      <c r="E144" s="84">
        <v>0</v>
      </c>
      <c r="F144" s="386"/>
      <c r="G144" s="84"/>
      <c r="H144" s="392"/>
      <c r="I144" s="84">
        <f>E144</f>
        <v>0</v>
      </c>
      <c r="J144" s="116"/>
      <c r="K144" s="35"/>
      <c r="L144" s="35"/>
      <c r="M144" s="40"/>
      <c r="N144" s="399">
        <f t="shared" si="5"/>
        <v>0</v>
      </c>
    </row>
    <row r="145" spans="1:14" s="8" customFormat="1" ht="18.75" hidden="1" customHeight="1">
      <c r="A145" s="86">
        <v>44</v>
      </c>
      <c r="B145" s="89" t="s">
        <v>117</v>
      </c>
      <c r="C145" s="111" t="s">
        <v>168</v>
      </c>
      <c r="D145" s="86" t="s">
        <v>176</v>
      </c>
      <c r="E145" s="87" t="s">
        <v>34</v>
      </c>
      <c r="F145" s="36"/>
      <c r="G145" s="87"/>
      <c r="H145" s="391"/>
      <c r="I145" s="87">
        <f>E146</f>
        <v>0</v>
      </c>
      <c r="J145" s="116"/>
      <c r="K145" s="35"/>
      <c r="L145" s="35"/>
      <c r="M145" s="40"/>
      <c r="N145" s="399">
        <f t="shared" si="5"/>
        <v>0</v>
      </c>
    </row>
    <row r="146" spans="1:14" s="8" customFormat="1" ht="80.25" hidden="1" customHeight="1">
      <c r="A146" s="88"/>
      <c r="B146" s="91"/>
      <c r="C146" s="110" t="s">
        <v>352</v>
      </c>
      <c r="D146" s="88" t="s">
        <v>177</v>
      </c>
      <c r="E146" s="84">
        <v>0</v>
      </c>
      <c r="F146" s="386"/>
      <c r="G146" s="84"/>
      <c r="H146" s="392"/>
      <c r="I146" s="84" t="s">
        <v>34</v>
      </c>
      <c r="J146" s="116"/>
      <c r="K146" s="35"/>
      <c r="L146" s="35"/>
      <c r="N146" s="399">
        <f t="shared" si="5"/>
        <v>0</v>
      </c>
    </row>
    <row r="147" spans="1:14" s="8" customFormat="1" ht="18.75" hidden="1" customHeight="1">
      <c r="A147" s="64" t="s">
        <v>34</v>
      </c>
      <c r="B147" s="64" t="s">
        <v>501</v>
      </c>
      <c r="C147" s="736" t="s">
        <v>500</v>
      </c>
      <c r="D147" s="736" t="s">
        <v>8</v>
      </c>
      <c r="E147" s="736"/>
      <c r="F147" s="736"/>
      <c r="G147" s="736"/>
      <c r="H147" s="736"/>
      <c r="I147" s="736"/>
      <c r="J147" s="116"/>
      <c r="K147" s="35"/>
      <c r="L147" s="35"/>
      <c r="N147" s="399">
        <f t="shared" si="5"/>
        <v>0</v>
      </c>
    </row>
    <row r="148" spans="1:14" s="8" customFormat="1" ht="21" hidden="1" customHeight="1">
      <c r="A148" s="86">
        <v>42</v>
      </c>
      <c r="B148" s="90" t="s">
        <v>196</v>
      </c>
      <c r="C148" s="111" t="s">
        <v>503</v>
      </c>
      <c r="D148" s="86" t="s">
        <v>176</v>
      </c>
      <c r="E148" s="87" t="s">
        <v>34</v>
      </c>
      <c r="F148" s="36"/>
      <c r="G148" s="87"/>
      <c r="H148" s="391"/>
      <c r="I148" s="87">
        <f>E149</f>
        <v>45.4</v>
      </c>
      <c r="J148" s="116"/>
      <c r="K148" s="35"/>
      <c r="L148" s="35"/>
      <c r="N148" s="399">
        <f t="shared" si="5"/>
        <v>0</v>
      </c>
    </row>
    <row r="149" spans="1:14" s="8" customFormat="1" ht="42.75" hidden="1" customHeight="1">
      <c r="A149" s="86"/>
      <c r="B149" s="90"/>
      <c r="C149" s="110" t="s">
        <v>504</v>
      </c>
      <c r="D149" s="88" t="s">
        <v>177</v>
      </c>
      <c r="E149" s="84">
        <f>25.9+19.5</f>
        <v>45.4</v>
      </c>
      <c r="F149" s="386"/>
      <c r="G149" s="84"/>
      <c r="H149" s="392"/>
      <c r="I149" s="84" t="s">
        <v>34</v>
      </c>
      <c r="J149" s="116"/>
      <c r="K149" s="35"/>
      <c r="L149" s="35"/>
      <c r="N149" s="399">
        <f t="shared" si="5"/>
        <v>0</v>
      </c>
    </row>
    <row r="150" spans="1:14" s="11" customFormat="1" ht="18" customHeight="1">
      <c r="A150" s="64" t="s">
        <v>34</v>
      </c>
      <c r="B150" s="64" t="s">
        <v>194</v>
      </c>
      <c r="C150" s="736" t="s">
        <v>195</v>
      </c>
      <c r="D150" s="736" t="s">
        <v>8</v>
      </c>
      <c r="E150" s="736"/>
      <c r="F150" s="736"/>
      <c r="G150" s="736"/>
      <c r="H150" s="736"/>
      <c r="I150" s="736"/>
      <c r="J150" s="117"/>
      <c r="K150" s="36"/>
      <c r="L150" s="36"/>
      <c r="M150" s="8"/>
      <c r="N150" s="399">
        <f t="shared" si="5"/>
        <v>0</v>
      </c>
    </row>
    <row r="151" spans="1:14" s="11" customFormat="1" ht="18.75" customHeight="1">
      <c r="A151" s="86">
        <v>16</v>
      </c>
      <c r="B151" s="90" t="s">
        <v>196</v>
      </c>
      <c r="C151" s="111" t="s">
        <v>578</v>
      </c>
      <c r="D151" s="86" t="s">
        <v>626</v>
      </c>
      <c r="E151" s="87" t="s">
        <v>34</v>
      </c>
      <c r="F151" s="380">
        <f>I151</f>
        <v>1</v>
      </c>
      <c r="G151" s="87"/>
      <c r="H151" s="391"/>
      <c r="I151" s="87">
        <f>E152</f>
        <v>1</v>
      </c>
      <c r="J151" s="117"/>
      <c r="K151" s="36"/>
      <c r="L151" s="36"/>
      <c r="M151" s="8"/>
      <c r="N151" s="399">
        <f t="shared" si="5"/>
        <v>0</v>
      </c>
    </row>
    <row r="152" spans="1:14" s="11" customFormat="1" ht="51" hidden="1" customHeight="1">
      <c r="A152" s="86"/>
      <c r="B152" s="90"/>
      <c r="C152" s="110" t="s">
        <v>628</v>
      </c>
      <c r="D152" s="88" t="s">
        <v>626</v>
      </c>
      <c r="E152" s="84">
        <v>1</v>
      </c>
      <c r="F152" s="380" t="str">
        <f>I152</f>
        <v>x</v>
      </c>
      <c r="G152" s="84"/>
      <c r="H152" s="392"/>
      <c r="I152" s="84" t="s">
        <v>34</v>
      </c>
      <c r="J152" s="117"/>
      <c r="K152" s="36"/>
      <c r="L152" s="36"/>
      <c r="M152" s="8"/>
      <c r="N152" s="399">
        <f t="shared" si="5"/>
        <v>0</v>
      </c>
    </row>
    <row r="153" spans="1:14" s="11" customFormat="1" ht="31.5" customHeight="1">
      <c r="A153" s="731" t="s">
        <v>663</v>
      </c>
      <c r="B153" s="731"/>
      <c r="C153" s="731"/>
      <c r="D153" s="731"/>
      <c r="E153" s="731"/>
      <c r="F153" s="731"/>
      <c r="G153" s="731"/>
      <c r="H153" s="401"/>
      <c r="I153" s="84"/>
      <c r="J153" s="117"/>
      <c r="K153" s="36"/>
      <c r="L153" s="36"/>
      <c r="M153" s="8"/>
      <c r="N153" s="399"/>
    </row>
    <row r="154" spans="1:14" s="11" customFormat="1" ht="29.25" customHeight="1">
      <c r="A154" s="21" t="s">
        <v>61</v>
      </c>
      <c r="B154" s="21" t="s">
        <v>62</v>
      </c>
      <c r="C154" s="737" t="s">
        <v>184</v>
      </c>
      <c r="D154" s="737" t="s">
        <v>8</v>
      </c>
      <c r="E154" s="737"/>
      <c r="F154" s="737"/>
      <c r="G154" s="737"/>
      <c r="H154" s="737"/>
      <c r="I154" s="737"/>
      <c r="J154" s="117"/>
      <c r="K154" s="36"/>
      <c r="L154" s="36"/>
      <c r="M154" s="8"/>
      <c r="N154" s="399">
        <f t="shared" si="5"/>
        <v>0</v>
      </c>
    </row>
    <row r="155" spans="1:14" s="11" customFormat="1" ht="18" customHeight="1">
      <c r="A155" s="64" t="s">
        <v>34</v>
      </c>
      <c r="B155" s="64" t="s">
        <v>119</v>
      </c>
      <c r="C155" s="736" t="s">
        <v>118</v>
      </c>
      <c r="D155" s="736" t="s">
        <v>8</v>
      </c>
      <c r="E155" s="736"/>
      <c r="F155" s="736"/>
      <c r="G155" s="736"/>
      <c r="H155" s="736"/>
      <c r="I155" s="736"/>
      <c r="J155" s="117"/>
      <c r="K155" s="36"/>
      <c r="L155" s="36"/>
      <c r="M155" s="8"/>
      <c r="N155" s="399">
        <f t="shared" si="5"/>
        <v>0</v>
      </c>
    </row>
    <row r="156" spans="1:14" s="11" customFormat="1" ht="18" customHeight="1">
      <c r="A156" s="86">
        <v>17</v>
      </c>
      <c r="B156" s="89" t="s">
        <v>120</v>
      </c>
      <c r="C156" s="111" t="s">
        <v>169</v>
      </c>
      <c r="D156" s="86" t="s">
        <v>9</v>
      </c>
      <c r="E156" s="87" t="s">
        <v>34</v>
      </c>
      <c r="F156" s="380">
        <f>I156</f>
        <v>3</v>
      </c>
      <c r="G156" s="87"/>
      <c r="H156" s="391"/>
      <c r="I156" s="87">
        <f>E157</f>
        <v>3</v>
      </c>
      <c r="J156" s="117"/>
      <c r="K156" s="36"/>
      <c r="L156" s="36"/>
      <c r="M156" s="8"/>
      <c r="N156" s="399">
        <f t="shared" si="5"/>
        <v>0</v>
      </c>
    </row>
    <row r="157" spans="1:14" s="11" customFormat="1" ht="40.5" hidden="1" customHeight="1">
      <c r="A157" s="88"/>
      <c r="B157" s="91"/>
      <c r="C157" s="110" t="s">
        <v>579</v>
      </c>
      <c r="D157" s="88" t="s">
        <v>9</v>
      </c>
      <c r="E157" s="84">
        <v>3</v>
      </c>
      <c r="F157" s="380" t="str">
        <f>I157</f>
        <v>x</v>
      </c>
      <c r="G157" s="84"/>
      <c r="H157" s="391"/>
      <c r="I157" s="84" t="s">
        <v>34</v>
      </c>
      <c r="J157" s="117"/>
      <c r="K157" s="36"/>
      <c r="L157" s="36"/>
      <c r="N157" s="399">
        <f t="shared" si="5"/>
        <v>0</v>
      </c>
    </row>
    <row r="158" spans="1:14" s="11" customFormat="1" ht="18" customHeight="1">
      <c r="A158" s="86">
        <v>18</v>
      </c>
      <c r="B158" s="89" t="s">
        <v>170</v>
      </c>
      <c r="C158" s="111" t="s">
        <v>217</v>
      </c>
      <c r="D158" s="86" t="s">
        <v>9</v>
      </c>
      <c r="E158" s="87" t="s">
        <v>34</v>
      </c>
      <c r="F158" s="380">
        <f>I158</f>
        <v>5</v>
      </c>
      <c r="G158" s="87"/>
      <c r="H158" s="391"/>
      <c r="I158" s="87">
        <f>E159</f>
        <v>5</v>
      </c>
      <c r="J158" s="117"/>
      <c r="K158" s="36"/>
      <c r="L158" s="36"/>
      <c r="N158" s="399">
        <f t="shared" si="5"/>
        <v>0</v>
      </c>
    </row>
    <row r="159" spans="1:14" s="11" customFormat="1" ht="42.75" hidden="1" customHeight="1">
      <c r="A159" s="86"/>
      <c r="B159" s="91"/>
      <c r="C159" s="110" t="s">
        <v>580</v>
      </c>
      <c r="D159" s="88" t="s">
        <v>9</v>
      </c>
      <c r="E159" s="84">
        <v>5</v>
      </c>
      <c r="F159" s="380" t="str">
        <f>I159</f>
        <v>x</v>
      </c>
      <c r="G159" s="84"/>
      <c r="H159" s="392"/>
      <c r="I159" s="87" t="s">
        <v>34</v>
      </c>
      <c r="J159" s="117"/>
      <c r="K159" s="36"/>
      <c r="L159" s="36"/>
      <c r="N159" s="399">
        <f t="shared" si="5"/>
        <v>0</v>
      </c>
    </row>
    <row r="160" spans="1:14" s="11" customFormat="1" ht="18" hidden="1" customHeight="1">
      <c r="A160" s="64" t="s">
        <v>34</v>
      </c>
      <c r="B160" s="64" t="s">
        <v>171</v>
      </c>
      <c r="C160" s="736" t="s">
        <v>172</v>
      </c>
      <c r="D160" s="736" t="s">
        <v>8</v>
      </c>
      <c r="E160" s="736"/>
      <c r="F160" s="736"/>
      <c r="G160" s="736"/>
      <c r="H160" s="736"/>
      <c r="I160" s="736"/>
      <c r="J160" s="117"/>
      <c r="K160" s="36"/>
      <c r="L160" s="36"/>
      <c r="N160" s="399">
        <f t="shared" si="5"/>
        <v>0</v>
      </c>
    </row>
    <row r="161" spans="1:16" s="11" customFormat="1" ht="18.75" hidden="1" customHeight="1">
      <c r="A161" s="86">
        <v>48</v>
      </c>
      <c r="B161" s="89" t="s">
        <v>173</v>
      </c>
      <c r="C161" s="111" t="s">
        <v>218</v>
      </c>
      <c r="D161" s="86" t="s">
        <v>11</v>
      </c>
      <c r="E161" s="87" t="s">
        <v>34</v>
      </c>
      <c r="F161" s="36"/>
      <c r="G161" s="87"/>
      <c r="H161" s="391"/>
      <c r="I161" s="87">
        <f>E162</f>
        <v>0</v>
      </c>
      <c r="J161" s="117"/>
      <c r="K161" s="36"/>
      <c r="L161" s="36"/>
      <c r="N161" s="399">
        <f t="shared" si="5"/>
        <v>0</v>
      </c>
    </row>
    <row r="162" spans="1:16" s="11" customFormat="1" ht="64.5" hidden="1" customHeight="1">
      <c r="A162" s="86"/>
      <c r="B162" s="91"/>
      <c r="C162" s="110" t="s">
        <v>339</v>
      </c>
      <c r="D162" s="88" t="s">
        <v>11</v>
      </c>
      <c r="E162" s="84">
        <v>0</v>
      </c>
      <c r="F162" s="386"/>
      <c r="G162" s="84"/>
      <c r="H162" s="392"/>
      <c r="I162" s="87" t="s">
        <v>34</v>
      </c>
      <c r="J162" s="117"/>
      <c r="K162" s="36"/>
      <c r="L162" s="36"/>
      <c r="N162" s="399">
        <f t="shared" si="5"/>
        <v>0</v>
      </c>
    </row>
    <row r="163" spans="1:16" s="11" customFormat="1" ht="38.25" customHeight="1">
      <c r="A163" s="731" t="s">
        <v>664</v>
      </c>
      <c r="B163" s="731"/>
      <c r="C163" s="731"/>
      <c r="D163" s="731"/>
      <c r="E163" s="731"/>
      <c r="F163" s="731"/>
      <c r="G163" s="731"/>
      <c r="H163" s="401"/>
      <c r="I163" s="87"/>
      <c r="J163" s="117"/>
      <c r="K163" s="36"/>
      <c r="L163" s="36"/>
      <c r="N163" s="399"/>
    </row>
    <row r="164" spans="1:16" s="11" customFormat="1" ht="30" customHeight="1">
      <c r="A164" s="21" t="s">
        <v>63</v>
      </c>
      <c r="B164" s="21" t="s">
        <v>64</v>
      </c>
      <c r="C164" s="737" t="s">
        <v>185</v>
      </c>
      <c r="D164" s="737"/>
      <c r="E164" s="737"/>
      <c r="F164" s="737"/>
      <c r="G164" s="737"/>
      <c r="H164" s="737"/>
      <c r="I164" s="737"/>
      <c r="J164" s="117"/>
      <c r="K164" s="36"/>
      <c r="L164" s="36"/>
      <c r="N164" s="399">
        <f t="shared" si="5"/>
        <v>0</v>
      </c>
    </row>
    <row r="165" spans="1:16" s="11" customFormat="1" ht="18" customHeight="1">
      <c r="A165" s="64" t="s">
        <v>34</v>
      </c>
      <c r="B165" s="64" t="s">
        <v>24</v>
      </c>
      <c r="C165" s="736" t="s">
        <v>25</v>
      </c>
      <c r="D165" s="736" t="s">
        <v>8</v>
      </c>
      <c r="E165" s="736"/>
      <c r="F165" s="736"/>
      <c r="G165" s="736"/>
      <c r="H165" s="736"/>
      <c r="I165" s="736"/>
      <c r="J165" s="117"/>
      <c r="K165" s="36"/>
      <c r="L165" s="36"/>
      <c r="N165" s="399">
        <f t="shared" si="5"/>
        <v>0</v>
      </c>
    </row>
    <row r="166" spans="1:16" s="11" customFormat="1" ht="29.25" customHeight="1">
      <c r="A166" s="86">
        <v>19</v>
      </c>
      <c r="B166" s="90" t="s">
        <v>505</v>
      </c>
      <c r="C166" s="114" t="s">
        <v>506</v>
      </c>
      <c r="D166" s="86" t="s">
        <v>11</v>
      </c>
      <c r="E166" s="87" t="s">
        <v>34</v>
      </c>
      <c r="F166" s="380">
        <f>I166</f>
        <v>445</v>
      </c>
      <c r="G166" s="87"/>
      <c r="H166" s="391"/>
      <c r="I166" s="87">
        <f>SUM(E167:E167)</f>
        <v>445</v>
      </c>
      <c r="J166" s="117"/>
      <c r="K166" s="36"/>
      <c r="L166" s="36"/>
      <c r="N166" s="399">
        <f t="shared" si="5"/>
        <v>0</v>
      </c>
    </row>
    <row r="167" spans="1:16" s="11" customFormat="1" ht="57.75" hidden="1" customHeight="1">
      <c r="A167" s="86"/>
      <c r="B167" s="91"/>
      <c r="C167" s="110" t="s">
        <v>629</v>
      </c>
      <c r="D167" s="88" t="s">
        <v>11</v>
      </c>
      <c r="E167" s="84">
        <v>445</v>
      </c>
      <c r="F167" s="380" t="str">
        <f>I167</f>
        <v>x</v>
      </c>
      <c r="G167" s="84"/>
      <c r="H167" s="392"/>
      <c r="I167" s="87" t="s">
        <v>34</v>
      </c>
      <c r="J167" s="117"/>
      <c r="K167" s="36"/>
      <c r="L167" s="36"/>
      <c r="N167" s="399">
        <f t="shared" si="5"/>
        <v>0</v>
      </c>
    </row>
    <row r="168" spans="1:16" s="8" customFormat="1" ht="18" customHeight="1">
      <c r="A168" s="64" t="s">
        <v>34</v>
      </c>
      <c r="B168" s="64" t="s">
        <v>26</v>
      </c>
      <c r="C168" s="736" t="s">
        <v>27</v>
      </c>
      <c r="D168" s="736" t="s">
        <v>8</v>
      </c>
      <c r="E168" s="736"/>
      <c r="F168" s="736"/>
      <c r="G168" s="736"/>
      <c r="H168" s="736"/>
      <c r="I168" s="736"/>
      <c r="J168" s="116"/>
      <c r="K168" s="35">
        <v>90.78</v>
      </c>
      <c r="L168" s="35">
        <f>K168*I166</f>
        <v>40397.1</v>
      </c>
      <c r="M168" s="11"/>
      <c r="N168" s="399">
        <f t="shared" si="5"/>
        <v>0</v>
      </c>
    </row>
    <row r="169" spans="1:16" s="8" customFormat="1" ht="18" customHeight="1">
      <c r="A169" s="86">
        <v>20</v>
      </c>
      <c r="B169" s="90" t="s">
        <v>91</v>
      </c>
      <c r="C169" s="111" t="s">
        <v>92</v>
      </c>
      <c r="D169" s="86" t="s">
        <v>176</v>
      </c>
      <c r="E169" s="87" t="s">
        <v>34</v>
      </c>
      <c r="F169" s="380">
        <f>I169</f>
        <v>520.84</v>
      </c>
      <c r="G169" s="87"/>
      <c r="H169" s="391"/>
      <c r="I169" s="87">
        <f>E170</f>
        <v>520.84</v>
      </c>
      <c r="J169" s="116"/>
      <c r="K169" s="36"/>
      <c r="L169" s="36"/>
      <c r="M169" s="11"/>
      <c r="N169" s="399">
        <f t="shared" si="5"/>
        <v>0</v>
      </c>
      <c r="O169" s="39"/>
      <c r="P169" s="39"/>
    </row>
    <row r="170" spans="1:16" s="13" customFormat="1" ht="77.25" hidden="1" customHeight="1">
      <c r="A170" s="86" t="s">
        <v>8</v>
      </c>
      <c r="B170" s="92"/>
      <c r="C170" s="110" t="s">
        <v>630</v>
      </c>
      <c r="D170" s="88" t="s">
        <v>177</v>
      </c>
      <c r="E170" s="84">
        <v>520.84</v>
      </c>
      <c r="F170" s="380" t="str">
        <f>I170</f>
        <v>x</v>
      </c>
      <c r="G170" s="84"/>
      <c r="H170" s="391"/>
      <c r="I170" s="87" t="s">
        <v>34</v>
      </c>
      <c r="J170" s="118"/>
      <c r="K170" s="35">
        <v>72.3</v>
      </c>
      <c r="L170" s="35" t="e">
        <f>K170*#REF!</f>
        <v>#REF!</v>
      </c>
      <c r="M170" s="11"/>
      <c r="N170" s="399">
        <f t="shared" si="5"/>
        <v>0</v>
      </c>
    </row>
    <row r="171" spans="1:16" s="8" customFormat="1" ht="19.5" customHeight="1">
      <c r="A171" s="86">
        <v>21</v>
      </c>
      <c r="B171" s="90" t="s">
        <v>1</v>
      </c>
      <c r="C171" s="111" t="s">
        <v>219</v>
      </c>
      <c r="D171" s="86" t="s">
        <v>176</v>
      </c>
      <c r="E171" s="87" t="s">
        <v>34</v>
      </c>
      <c r="F171" s="380">
        <f>I171</f>
        <v>156.21</v>
      </c>
      <c r="G171" s="87"/>
      <c r="H171" s="391"/>
      <c r="I171" s="87">
        <f>E172</f>
        <v>156.21</v>
      </c>
      <c r="J171" s="116"/>
      <c r="K171" s="36"/>
      <c r="L171" s="36"/>
      <c r="M171" s="11"/>
      <c r="N171" s="399">
        <f t="shared" si="5"/>
        <v>0</v>
      </c>
    </row>
    <row r="172" spans="1:16" s="8" customFormat="1" ht="57" hidden="1" customHeight="1">
      <c r="A172" s="86" t="s">
        <v>8</v>
      </c>
      <c r="B172" s="92"/>
      <c r="C172" s="110" t="s">
        <v>633</v>
      </c>
      <c r="D172" s="88" t="s">
        <v>177</v>
      </c>
      <c r="E172" s="84">
        <v>156.21</v>
      </c>
      <c r="F172" s="380" t="str">
        <f>I172</f>
        <v>x</v>
      </c>
      <c r="G172" s="84"/>
      <c r="H172" s="392"/>
      <c r="I172" s="87" t="s">
        <v>34</v>
      </c>
      <c r="J172" s="116"/>
      <c r="K172" s="738"/>
      <c r="L172" s="738"/>
      <c r="N172" s="399">
        <f t="shared" si="5"/>
        <v>0</v>
      </c>
    </row>
    <row r="173" spans="1:16" s="8" customFormat="1" ht="18" customHeight="1">
      <c r="A173" s="64" t="s">
        <v>34</v>
      </c>
      <c r="B173" s="64" t="s">
        <v>28</v>
      </c>
      <c r="C173" s="736" t="s">
        <v>29</v>
      </c>
      <c r="D173" s="736" t="s">
        <v>8</v>
      </c>
      <c r="E173" s="736"/>
      <c r="F173" s="736"/>
      <c r="G173" s="736"/>
      <c r="H173" s="736"/>
      <c r="I173" s="736"/>
      <c r="J173" s="116"/>
      <c r="K173" s="262"/>
      <c r="L173" s="262"/>
      <c r="N173" s="399">
        <f t="shared" si="5"/>
        <v>0</v>
      </c>
    </row>
    <row r="174" spans="1:16" s="8" customFormat="1" ht="17.25" customHeight="1">
      <c r="A174" s="86">
        <v>22</v>
      </c>
      <c r="B174" s="90" t="s">
        <v>2</v>
      </c>
      <c r="C174" s="111" t="s">
        <v>121</v>
      </c>
      <c r="D174" s="86" t="s">
        <v>11</v>
      </c>
      <c r="E174" s="87" t="s">
        <v>34</v>
      </c>
      <c r="F174" s="380">
        <f>I174</f>
        <v>465</v>
      </c>
      <c r="G174" s="87"/>
      <c r="H174" s="391"/>
      <c r="I174" s="87">
        <f>E175</f>
        <v>465</v>
      </c>
      <c r="J174" s="116"/>
      <c r="K174" s="262"/>
      <c r="L174" s="262"/>
      <c r="N174" s="399">
        <f t="shared" si="5"/>
        <v>0</v>
      </c>
    </row>
    <row r="175" spans="1:16" s="11" customFormat="1" ht="43.5" hidden="1" customHeight="1">
      <c r="A175" s="86" t="s">
        <v>8</v>
      </c>
      <c r="B175" s="92"/>
      <c r="C175" s="110" t="s">
        <v>634</v>
      </c>
      <c r="D175" s="88" t="s">
        <v>11</v>
      </c>
      <c r="E175" s="84">
        <v>465</v>
      </c>
      <c r="F175" s="380" t="str">
        <f>I175</f>
        <v>x</v>
      </c>
      <c r="G175" s="84"/>
      <c r="H175" s="392"/>
      <c r="I175" s="84" t="s">
        <v>34</v>
      </c>
      <c r="J175" s="115"/>
      <c r="K175" s="35">
        <v>78.42</v>
      </c>
      <c r="L175" s="35">
        <f>K175*I171</f>
        <v>12249.99</v>
      </c>
      <c r="M175" s="13"/>
      <c r="N175" s="399">
        <f t="shared" si="5"/>
        <v>0</v>
      </c>
    </row>
    <row r="176" spans="1:16" s="11" customFormat="1" ht="24.75" customHeight="1">
      <c r="A176" s="731" t="s">
        <v>665</v>
      </c>
      <c r="B176" s="731"/>
      <c r="C176" s="731"/>
      <c r="D176" s="731"/>
      <c r="E176" s="731"/>
      <c r="F176" s="731"/>
      <c r="G176" s="731"/>
      <c r="H176" s="401"/>
      <c r="I176" s="84"/>
      <c r="J176" s="115"/>
      <c r="K176" s="35"/>
      <c r="L176" s="35"/>
      <c r="M176" s="13"/>
      <c r="N176" s="399"/>
    </row>
    <row r="177" spans="1:14" s="11" customFormat="1" ht="28.5" customHeight="1">
      <c r="A177" s="733" t="s">
        <v>656</v>
      </c>
      <c r="B177" s="733"/>
      <c r="C177" s="733"/>
      <c r="D177" s="733"/>
      <c r="E177" s="733"/>
      <c r="F177" s="733"/>
      <c r="G177" s="733"/>
      <c r="H177" s="403"/>
      <c r="I177" s="84"/>
      <c r="J177" s="115"/>
      <c r="K177" s="35"/>
      <c r="L177" s="35"/>
      <c r="M177" s="13"/>
      <c r="N177" s="399"/>
    </row>
    <row r="178" spans="1:14" ht="37.5" customHeight="1">
      <c r="A178" s="376" t="s">
        <v>126</v>
      </c>
      <c r="B178" s="734" t="s">
        <v>635</v>
      </c>
      <c r="C178" s="734"/>
      <c r="D178" s="734"/>
      <c r="E178" s="734"/>
      <c r="F178" s="734"/>
      <c r="G178" s="734"/>
      <c r="H178" s="734"/>
      <c r="I178" s="734"/>
      <c r="J178" s="734"/>
      <c r="K178" s="734"/>
      <c r="L178" s="734"/>
      <c r="N178" s="399">
        <f t="shared" si="5"/>
        <v>0</v>
      </c>
    </row>
    <row r="179" spans="1:14" ht="25.5" customHeight="1">
      <c r="A179" s="21" t="s">
        <v>93</v>
      </c>
      <c r="B179" s="21" t="s">
        <v>636</v>
      </c>
      <c r="C179" s="735" t="s">
        <v>637</v>
      </c>
      <c r="D179" s="735"/>
      <c r="E179" s="735"/>
      <c r="F179" s="735"/>
      <c r="G179" s="735"/>
      <c r="H179" s="735"/>
      <c r="I179" s="735"/>
      <c r="J179" s="735"/>
      <c r="K179" s="735"/>
      <c r="L179" s="735"/>
      <c r="N179" s="399">
        <f t="shared" si="5"/>
        <v>0</v>
      </c>
    </row>
    <row r="180" spans="1:14" ht="20.25" customHeight="1">
      <c r="A180" s="86">
        <v>23</v>
      </c>
      <c r="B180" s="90"/>
      <c r="C180" s="111" t="s">
        <v>638</v>
      </c>
      <c r="D180" s="86" t="s">
        <v>9</v>
      </c>
      <c r="E180" s="87" t="s">
        <v>34</v>
      </c>
      <c r="F180" s="380">
        <f>I180</f>
        <v>10</v>
      </c>
      <c r="G180" s="87"/>
      <c r="H180" s="391"/>
      <c r="I180" s="87">
        <f>E181</f>
        <v>10</v>
      </c>
      <c r="J180" s="377"/>
      <c r="K180" s="377"/>
      <c r="L180" s="377"/>
      <c r="N180" s="399">
        <f t="shared" si="5"/>
        <v>0</v>
      </c>
    </row>
    <row r="181" spans="1:14" ht="71.25" hidden="1" customHeight="1">
      <c r="A181" s="86" t="s">
        <v>8</v>
      </c>
      <c r="B181" s="92"/>
      <c r="C181" s="110" t="s">
        <v>649</v>
      </c>
      <c r="D181" s="88" t="s">
        <v>9</v>
      </c>
      <c r="E181" s="84">
        <v>10</v>
      </c>
      <c r="F181" s="380" t="str">
        <f>I181</f>
        <v>x</v>
      </c>
      <c r="G181" s="84"/>
      <c r="H181" s="392"/>
      <c r="I181" s="84" t="s">
        <v>34</v>
      </c>
      <c r="J181" s="377"/>
      <c r="K181" s="377"/>
      <c r="L181" s="377"/>
      <c r="N181" s="399">
        <f t="shared" si="5"/>
        <v>0</v>
      </c>
    </row>
    <row r="182" spans="1:14" ht="24.75" customHeight="1">
      <c r="A182" s="731" t="s">
        <v>666</v>
      </c>
      <c r="B182" s="731"/>
      <c r="C182" s="731"/>
      <c r="D182" s="731"/>
      <c r="E182" s="731"/>
      <c r="F182" s="731"/>
      <c r="G182" s="731"/>
      <c r="H182" s="401"/>
      <c r="I182" s="84"/>
      <c r="J182" s="377"/>
      <c r="K182" s="377"/>
      <c r="L182" s="377"/>
      <c r="N182" s="399"/>
    </row>
    <row r="183" spans="1:14" ht="25.5" customHeight="1">
      <c r="A183" s="733" t="s">
        <v>660</v>
      </c>
      <c r="B183" s="733"/>
      <c r="C183" s="733"/>
      <c r="D183" s="733"/>
      <c r="E183" s="733"/>
      <c r="F183" s="733"/>
      <c r="G183" s="733"/>
      <c r="H183" s="403"/>
      <c r="I183" s="84"/>
      <c r="J183" s="377"/>
      <c r="K183" s="377"/>
      <c r="L183" s="377"/>
      <c r="N183" s="399"/>
    </row>
    <row r="184" spans="1:14" ht="31.5" customHeight="1">
      <c r="A184" s="376" t="s">
        <v>639</v>
      </c>
      <c r="B184" s="734" t="s">
        <v>648</v>
      </c>
      <c r="C184" s="734"/>
      <c r="D184" s="734"/>
      <c r="E184" s="734"/>
      <c r="F184" s="734"/>
      <c r="G184" s="734"/>
      <c r="H184" s="734"/>
      <c r="I184" s="734"/>
      <c r="J184" s="734"/>
      <c r="K184" s="734"/>
      <c r="L184" s="734"/>
      <c r="N184" s="399">
        <f t="shared" si="5"/>
        <v>0</v>
      </c>
    </row>
    <row r="185" spans="1:14" ht="38.25" customHeight="1">
      <c r="A185" s="21" t="s">
        <v>33</v>
      </c>
      <c r="B185" s="21" t="s">
        <v>640</v>
      </c>
      <c r="C185" s="735" t="s">
        <v>641</v>
      </c>
      <c r="D185" s="735"/>
      <c r="E185" s="735"/>
      <c r="F185" s="735"/>
      <c r="G185" s="735"/>
      <c r="H185" s="735"/>
      <c r="I185" s="735"/>
      <c r="J185" s="735"/>
      <c r="K185" s="735"/>
      <c r="L185" s="735"/>
      <c r="N185" s="399">
        <f t="shared" si="5"/>
        <v>0</v>
      </c>
    </row>
    <row r="186" spans="1:14" ht="21" customHeight="1">
      <c r="A186" s="86">
        <v>24</v>
      </c>
      <c r="B186" s="90"/>
      <c r="C186" s="111" t="s">
        <v>642</v>
      </c>
      <c r="D186" s="86" t="s">
        <v>9</v>
      </c>
      <c r="E186" s="87" t="s">
        <v>34</v>
      </c>
      <c r="F186" s="380">
        <f>I186</f>
        <v>8</v>
      </c>
      <c r="G186" s="87">
        <v>225.6</v>
      </c>
      <c r="H186" s="391"/>
      <c r="I186" s="87">
        <f>E187</f>
        <v>8</v>
      </c>
      <c r="J186" s="377"/>
      <c r="K186" s="377"/>
      <c r="L186" s="377"/>
      <c r="N186" s="399">
        <f t="shared" si="5"/>
        <v>0</v>
      </c>
    </row>
    <row r="187" spans="1:14" ht="76.5" hidden="1">
      <c r="A187" s="86" t="s">
        <v>8</v>
      </c>
      <c r="B187" s="92"/>
      <c r="C187" s="110" t="s">
        <v>650</v>
      </c>
      <c r="D187" s="88" t="s">
        <v>9</v>
      </c>
      <c r="E187" s="84">
        <v>8</v>
      </c>
      <c r="F187" s="380" t="str">
        <f>I187</f>
        <v>x</v>
      </c>
      <c r="G187" s="84"/>
      <c r="H187" s="392"/>
      <c r="I187" s="84" t="s">
        <v>34</v>
      </c>
      <c r="J187" s="377"/>
      <c r="K187" s="377"/>
      <c r="L187" s="377"/>
      <c r="N187" s="399">
        <f t="shared" si="5"/>
        <v>0</v>
      </c>
    </row>
    <row r="188" spans="1:14" ht="26.25" customHeight="1">
      <c r="A188" s="731" t="s">
        <v>223</v>
      </c>
      <c r="B188" s="731"/>
      <c r="C188" s="731"/>
      <c r="D188" s="731"/>
      <c r="E188" s="731"/>
      <c r="F188" s="731"/>
      <c r="G188" s="731"/>
      <c r="H188" s="401"/>
      <c r="I188" s="405"/>
      <c r="J188" s="377"/>
      <c r="K188" s="377"/>
      <c r="L188" s="377"/>
      <c r="N188" s="399"/>
    </row>
    <row r="189" spans="1:14" ht="28.5" customHeight="1">
      <c r="A189" s="733" t="s">
        <v>662</v>
      </c>
      <c r="B189" s="733"/>
      <c r="C189" s="733"/>
      <c r="D189" s="733"/>
      <c r="E189" s="733"/>
      <c r="F189" s="733"/>
      <c r="G189" s="733"/>
      <c r="H189" s="403"/>
      <c r="I189" s="405"/>
      <c r="J189" s="377"/>
      <c r="K189" s="377"/>
      <c r="L189" s="377"/>
      <c r="N189" s="399"/>
    </row>
    <row r="190" spans="1:14" ht="21.75" customHeight="1">
      <c r="A190" s="732" t="s">
        <v>191</v>
      </c>
      <c r="B190" s="732"/>
      <c r="C190" s="732"/>
      <c r="D190" s="732"/>
      <c r="E190" s="732"/>
      <c r="F190" s="732"/>
      <c r="G190" s="732"/>
      <c r="H190" s="397"/>
      <c r="I190" s="406" t="e">
        <f>I189+#REF!</f>
        <v>#REF!</v>
      </c>
      <c r="J190" s="377"/>
      <c r="K190" s="377"/>
      <c r="L190" s="377"/>
    </row>
    <row r="191" spans="1:14" ht="24" customHeight="1">
      <c r="A191" s="732" t="s">
        <v>192</v>
      </c>
      <c r="B191" s="732"/>
      <c r="C191" s="732"/>
      <c r="D191" s="732"/>
      <c r="E191" s="732"/>
      <c r="F191" s="732"/>
      <c r="G191" s="732"/>
      <c r="H191" s="397"/>
      <c r="I191" s="406" t="e">
        <f>0.23*I190</f>
        <v>#REF!</v>
      </c>
      <c r="J191" s="377"/>
      <c r="K191" s="377"/>
      <c r="L191" s="377"/>
    </row>
    <row r="192" spans="1:14" ht="27" customHeight="1">
      <c r="A192" s="732" t="s">
        <v>193</v>
      </c>
      <c r="B192" s="732"/>
      <c r="C192" s="732"/>
      <c r="D192" s="732"/>
      <c r="E192" s="732"/>
      <c r="F192" s="732"/>
      <c r="G192" s="732"/>
      <c r="H192" s="397"/>
      <c r="I192" s="406" t="e">
        <f>I190+I191</f>
        <v>#REF!</v>
      </c>
      <c r="J192" s="377"/>
      <c r="K192" s="377"/>
      <c r="L192" s="377"/>
    </row>
    <row r="193" spans="9:9">
      <c r="I193" s="18"/>
    </row>
    <row r="194" spans="9:9">
      <c r="I194" s="18"/>
    </row>
    <row r="195" spans="9:9">
      <c r="I195" s="18"/>
    </row>
  </sheetData>
  <autoFilter ref="A3:I175"/>
  <mergeCells count="76">
    <mergeCell ref="A1:I1"/>
    <mergeCell ref="K1:L1"/>
    <mergeCell ref="A2:I2"/>
    <mergeCell ref="K2:L2"/>
    <mergeCell ref="B4:I4"/>
    <mergeCell ref="K4:L4"/>
    <mergeCell ref="C5:I5"/>
    <mergeCell ref="K5:L5"/>
    <mergeCell ref="C6:I6"/>
    <mergeCell ref="A14:G14"/>
    <mergeCell ref="A15:G15"/>
    <mergeCell ref="B16:I16"/>
    <mergeCell ref="K16:L16"/>
    <mergeCell ref="C17:I17"/>
    <mergeCell ref="K17:L17"/>
    <mergeCell ref="C18:I18"/>
    <mergeCell ref="K18:L18"/>
    <mergeCell ref="C21:I21"/>
    <mergeCell ref="C26:I26"/>
    <mergeCell ref="K26:L26"/>
    <mergeCell ref="C31:I31"/>
    <mergeCell ref="K31:L31"/>
    <mergeCell ref="C56:I56"/>
    <mergeCell ref="C57:I57"/>
    <mergeCell ref="C62:I62"/>
    <mergeCell ref="C67:I67"/>
    <mergeCell ref="C68:I68"/>
    <mergeCell ref="C75:I75"/>
    <mergeCell ref="C78:I78"/>
    <mergeCell ref="A95:G95"/>
    <mergeCell ref="C96:I96"/>
    <mergeCell ref="C97:I97"/>
    <mergeCell ref="K97:L97"/>
    <mergeCell ref="C100:I100"/>
    <mergeCell ref="C103:I103"/>
    <mergeCell ref="K106:L106"/>
    <mergeCell ref="C112:I112"/>
    <mergeCell ref="K115:L115"/>
    <mergeCell ref="C117:I117"/>
    <mergeCell ref="A122:G122"/>
    <mergeCell ref="C123:I123"/>
    <mergeCell ref="C124:I124"/>
    <mergeCell ref="C127:I127"/>
    <mergeCell ref="K127:L127"/>
    <mergeCell ref="K130:L130"/>
    <mergeCell ref="C136:I136"/>
    <mergeCell ref="A139:G139"/>
    <mergeCell ref="C140:I140"/>
    <mergeCell ref="C141:I141"/>
    <mergeCell ref="K141:L141"/>
    <mergeCell ref="K142:L142"/>
    <mergeCell ref="C147:I147"/>
    <mergeCell ref="C150:I150"/>
    <mergeCell ref="A153:G153"/>
    <mergeCell ref="C154:I154"/>
    <mergeCell ref="C155:I155"/>
    <mergeCell ref="C160:I160"/>
    <mergeCell ref="A163:G163"/>
    <mergeCell ref="C164:I164"/>
    <mergeCell ref="C165:I165"/>
    <mergeCell ref="C168:I168"/>
    <mergeCell ref="K172:L172"/>
    <mergeCell ref="C173:I173"/>
    <mergeCell ref="A176:G176"/>
    <mergeCell ref="A177:G177"/>
    <mergeCell ref="B178:L178"/>
    <mergeCell ref="C179:L179"/>
    <mergeCell ref="A182:G182"/>
    <mergeCell ref="A191:G191"/>
    <mergeCell ref="A192:G192"/>
    <mergeCell ref="A183:G183"/>
    <mergeCell ref="B184:L184"/>
    <mergeCell ref="C185:L185"/>
    <mergeCell ref="A188:G188"/>
    <mergeCell ref="A189:G189"/>
    <mergeCell ref="A190:G190"/>
  </mergeCells>
  <pageMargins left="0.7" right="0.7" top="0.75" bottom="0.75" header="0.3" footer="0.3"/>
  <pageSetup paperSize="9" scale="61" fitToHeight="0" orientation="portrait" r:id="rId1"/>
  <rowBreaks count="1" manualBreakCount="1">
    <brk id="153" max="8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2:AB58"/>
  <sheetViews>
    <sheetView view="pageBreakPreview" topLeftCell="A4" zoomScale="55" zoomScaleNormal="40" zoomScaleSheetLayoutView="55" workbookViewId="0">
      <pane ySplit="1425" topLeftCell="A37" activePane="bottomLeft"/>
      <selection activeCell="V104" sqref="V104"/>
      <selection pane="bottomLeft" activeCell="V104" sqref="V104"/>
    </sheetView>
  </sheetViews>
  <sheetFormatPr defaultRowHeight="12.75"/>
  <cols>
    <col min="1" max="1" width="14.28515625" style="176" customWidth="1"/>
    <col min="2" max="2" width="12.28515625" style="176" customWidth="1"/>
    <col min="3" max="3" width="20.42578125" style="176" customWidth="1"/>
    <col min="4" max="4" width="14.42578125" style="176" customWidth="1"/>
    <col min="5" max="5" width="13" style="176" customWidth="1"/>
    <col min="6" max="6" width="19.42578125" style="176" customWidth="1"/>
    <col min="7" max="7" width="22.85546875" style="176" customWidth="1"/>
    <col min="8" max="8" width="13.140625" style="176" customWidth="1"/>
    <col min="9" max="9" width="11.85546875" style="176" customWidth="1"/>
    <col min="10" max="10" width="12.7109375" style="176" customWidth="1"/>
    <col min="11" max="11" width="10.42578125" style="176" customWidth="1"/>
    <col min="12" max="12" width="5.85546875" style="176" customWidth="1"/>
    <col min="13" max="13" width="7.28515625" style="176" customWidth="1"/>
    <col min="14" max="14" width="15.85546875" style="176" hidden="1" customWidth="1"/>
    <col min="15" max="15" width="15.85546875" style="176" customWidth="1"/>
    <col min="16" max="16" width="13.5703125" style="176" customWidth="1"/>
    <col min="17" max="23" width="15.85546875" style="176" customWidth="1"/>
    <col min="24" max="25" width="13.7109375" style="193" hidden="1" customWidth="1"/>
    <col min="26" max="26" width="18.28515625" style="176" hidden="1" customWidth="1"/>
    <col min="27" max="27" width="10.42578125" style="176" hidden="1" customWidth="1"/>
    <col min="28" max="28" width="22" style="176" customWidth="1"/>
    <col min="29" max="16384" width="9.140625" style="176"/>
  </cols>
  <sheetData>
    <row r="2" spans="1:28" ht="52.5" customHeight="1" thickBot="1">
      <c r="A2" s="407" t="s">
        <v>670</v>
      </c>
      <c r="B2" s="1046" t="s">
        <v>300</v>
      </c>
      <c r="C2" s="1046"/>
      <c r="D2" s="1046"/>
      <c r="E2" s="1046"/>
      <c r="F2" s="1046"/>
      <c r="G2" s="1046"/>
      <c r="H2" s="1046"/>
      <c r="I2" s="1046"/>
      <c r="J2" s="1046"/>
      <c r="K2" s="1046"/>
      <c r="L2" s="1046"/>
      <c r="M2" s="1046"/>
      <c r="N2" s="1046"/>
      <c r="O2" s="1046"/>
      <c r="P2" s="1046"/>
      <c r="Q2" s="1046"/>
      <c r="R2" s="1046"/>
      <c r="S2" s="1046"/>
      <c r="T2" s="1046"/>
      <c r="U2" s="1046"/>
      <c r="V2" s="1046"/>
      <c r="W2" s="1046"/>
      <c r="X2" s="1046"/>
      <c r="Y2" s="1046"/>
      <c r="Z2" s="1046"/>
      <c r="AA2" s="189"/>
      <c r="AB2" s="244"/>
    </row>
    <row r="3" spans="1:28" ht="36.75" customHeight="1">
      <c r="A3" s="1073" t="s">
        <v>361</v>
      </c>
      <c r="B3" s="1074"/>
      <c r="C3" s="1074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245"/>
      <c r="O3" s="1045" t="s">
        <v>403</v>
      </c>
      <c r="P3" s="1045"/>
      <c r="Q3" s="1045" t="s">
        <v>363</v>
      </c>
      <c r="R3" s="1045"/>
      <c r="S3" s="1045" t="s">
        <v>50</v>
      </c>
      <c r="T3" s="1045"/>
      <c r="U3" s="1045"/>
      <c r="V3" s="246" t="s">
        <v>367</v>
      </c>
      <c r="W3" s="247" t="s">
        <v>405</v>
      </c>
      <c r="X3" s="248"/>
      <c r="Y3" s="248"/>
      <c r="Z3" s="248"/>
      <c r="AA3" s="249"/>
      <c r="AB3" s="250" t="s">
        <v>404</v>
      </c>
    </row>
    <row r="4" spans="1:28" ht="114.75">
      <c r="A4" s="251" t="s">
        <v>382</v>
      </c>
      <c r="B4" s="199" t="s">
        <v>301</v>
      </c>
      <c r="C4" s="199" t="s">
        <v>302</v>
      </c>
      <c r="D4" s="199" t="s">
        <v>303</v>
      </c>
      <c r="E4" s="199" t="s">
        <v>304</v>
      </c>
      <c r="F4" s="199" t="s">
        <v>305</v>
      </c>
      <c r="G4" s="242" t="s">
        <v>306</v>
      </c>
      <c r="H4" s="199" t="s">
        <v>307</v>
      </c>
      <c r="I4" s="199" t="s">
        <v>308</v>
      </c>
      <c r="J4" s="199" t="s">
        <v>309</v>
      </c>
      <c r="K4" s="199" t="s">
        <v>310</v>
      </c>
      <c r="L4" s="1047" t="s">
        <v>372</v>
      </c>
      <c r="M4" s="1048"/>
      <c r="N4" s="198" t="s">
        <v>311</v>
      </c>
      <c r="O4" s="198" t="s">
        <v>386</v>
      </c>
      <c r="P4" s="198" t="s">
        <v>373</v>
      </c>
      <c r="Q4" s="198" t="s">
        <v>362</v>
      </c>
      <c r="R4" s="198" t="s">
        <v>625</v>
      </c>
      <c r="S4" s="198" t="s">
        <v>365</v>
      </c>
      <c r="T4" s="198" t="s">
        <v>364</v>
      </c>
      <c r="U4" s="198" t="s">
        <v>366</v>
      </c>
      <c r="V4" s="198" t="s">
        <v>502</v>
      </c>
      <c r="W4" s="198" t="s">
        <v>387</v>
      </c>
      <c r="X4" s="198" t="s">
        <v>312</v>
      </c>
      <c r="Y4" s="198" t="s">
        <v>313</v>
      </c>
      <c r="Z4" s="198" t="s">
        <v>314</v>
      </c>
      <c r="AA4" s="198" t="s">
        <v>315</v>
      </c>
      <c r="AB4" s="252" t="s">
        <v>316</v>
      </c>
    </row>
    <row r="5" spans="1:28" s="241" customFormat="1" ht="30.75" customHeight="1">
      <c r="A5" s="1071" t="s">
        <v>383</v>
      </c>
      <c r="B5" s="190" t="s">
        <v>359</v>
      </c>
      <c r="C5" s="190" t="s">
        <v>317</v>
      </c>
      <c r="D5" s="190">
        <v>5.0999999999999996</v>
      </c>
      <c r="E5" s="190">
        <v>6.5</v>
      </c>
      <c r="F5" s="190">
        <v>6.5</v>
      </c>
      <c r="G5" s="190" t="s">
        <v>48</v>
      </c>
      <c r="H5" s="192" t="s">
        <v>360</v>
      </c>
      <c r="I5" s="190" t="s">
        <v>360</v>
      </c>
      <c r="J5" s="190" t="str">
        <f>I5</f>
        <v>X</v>
      </c>
      <c r="K5" s="190" t="s">
        <v>360</v>
      </c>
      <c r="L5" s="190" t="str">
        <f t="shared" ref="L5:L13" si="0">G5</f>
        <v>D</v>
      </c>
      <c r="M5" s="190">
        <f>E5*D5</f>
        <v>33.15</v>
      </c>
      <c r="N5" s="190" t="s">
        <v>34</v>
      </c>
      <c r="O5" s="190" t="s">
        <v>34</v>
      </c>
      <c r="P5" s="190" t="s">
        <v>34</v>
      </c>
      <c r="Q5" s="190">
        <f>1.8*5.5</f>
        <v>9.9</v>
      </c>
      <c r="R5" s="190">
        <f>2.6*5.5</f>
        <v>14.3</v>
      </c>
      <c r="S5" s="190">
        <f>1.8*5.5</f>
        <v>9.9</v>
      </c>
      <c r="T5" s="190">
        <f>Q5+(5.5+0.8)*(2.6+0.4)</f>
        <v>28.8</v>
      </c>
      <c r="U5" s="190">
        <f>(2.6+0.15)*(5.5+0.3)</f>
        <v>15.95</v>
      </c>
      <c r="V5" s="190">
        <f>2.6*0.5*2</f>
        <v>2.6</v>
      </c>
      <c r="W5" s="190" t="s">
        <v>34</v>
      </c>
      <c r="X5" s="190" t="s">
        <v>360</v>
      </c>
      <c r="Y5" s="190" t="s">
        <v>34</v>
      </c>
      <c r="Z5" s="190" t="s">
        <v>34</v>
      </c>
      <c r="AA5" s="190" t="s">
        <v>34</v>
      </c>
      <c r="AB5" s="253" t="s">
        <v>368</v>
      </c>
    </row>
    <row r="6" spans="1:28" s="241" customFormat="1" ht="30.75" customHeight="1">
      <c r="A6" s="1072"/>
      <c r="B6" s="190" t="s">
        <v>369</v>
      </c>
      <c r="C6" s="190" t="s">
        <v>317</v>
      </c>
      <c r="D6" s="190">
        <v>5.9</v>
      </c>
      <c r="E6" s="190">
        <v>4.5</v>
      </c>
      <c r="F6" s="190">
        <v>4.5</v>
      </c>
      <c r="G6" s="190" t="s">
        <v>54</v>
      </c>
      <c r="H6" s="192" t="s">
        <v>360</v>
      </c>
      <c r="I6" s="190" t="s">
        <v>360</v>
      </c>
      <c r="J6" s="190" t="s">
        <v>360</v>
      </c>
      <c r="K6" s="190" t="s">
        <v>360</v>
      </c>
      <c r="L6" s="190" t="str">
        <f t="shared" si="0"/>
        <v>A</v>
      </c>
      <c r="M6" s="190">
        <f>F6*D6</f>
        <v>26.55</v>
      </c>
      <c r="N6" s="190"/>
      <c r="O6" s="190" t="s">
        <v>34</v>
      </c>
      <c r="P6" s="190" t="s">
        <v>34</v>
      </c>
      <c r="Q6" s="190">
        <f>1.8*4.5</f>
        <v>8.1</v>
      </c>
      <c r="R6" s="190">
        <f>3.4*4.5</f>
        <v>15.3</v>
      </c>
      <c r="S6" s="190">
        <f>1.8*4.5</f>
        <v>8.1</v>
      </c>
      <c r="T6" s="190">
        <f>Q6+R6*1.32</f>
        <v>28.3</v>
      </c>
      <c r="U6" s="190">
        <f>R6*1.12</f>
        <v>17.14</v>
      </c>
      <c r="V6" s="190">
        <f>3.4*1</f>
        <v>3.4</v>
      </c>
      <c r="W6" s="190"/>
      <c r="X6" s="190"/>
      <c r="Y6" s="190"/>
      <c r="Z6" s="190"/>
      <c r="AA6" s="190"/>
      <c r="AB6" s="253" t="s">
        <v>368</v>
      </c>
    </row>
    <row r="7" spans="1:28" s="241" customFormat="1" ht="30.75" customHeight="1">
      <c r="A7" s="1072"/>
      <c r="B7" s="190" t="s">
        <v>370</v>
      </c>
      <c r="C7" s="190" t="s">
        <v>317</v>
      </c>
      <c r="D7" s="190">
        <v>4.8</v>
      </c>
      <c r="E7" s="190">
        <v>6</v>
      </c>
      <c r="F7" s="190">
        <v>6</v>
      </c>
      <c r="G7" s="190" t="s">
        <v>56</v>
      </c>
      <c r="H7" s="192" t="s">
        <v>360</v>
      </c>
      <c r="I7" s="190" t="s">
        <v>360</v>
      </c>
      <c r="J7" s="190" t="s">
        <v>360</v>
      </c>
      <c r="K7" s="190" t="s">
        <v>360</v>
      </c>
      <c r="L7" s="190" t="str">
        <f t="shared" si="0"/>
        <v>B</v>
      </c>
      <c r="M7" s="190">
        <f>D7*E7</f>
        <v>28.8</v>
      </c>
      <c r="N7" s="190"/>
      <c r="O7" s="190" t="s">
        <v>34</v>
      </c>
      <c r="P7" s="190" t="s">
        <v>34</v>
      </c>
      <c r="Q7" s="190">
        <f>1.8*6</f>
        <v>10.8</v>
      </c>
      <c r="R7" s="190">
        <f>2.8*6</f>
        <v>16.8</v>
      </c>
      <c r="S7" s="190">
        <f>Q7</f>
        <v>10.8</v>
      </c>
      <c r="T7" s="190">
        <f>Q7+R7*1.32</f>
        <v>32.979999999999997</v>
      </c>
      <c r="U7" s="190">
        <f>R7*1.12</f>
        <v>18.82</v>
      </c>
      <c r="V7" s="190">
        <f>2.8*1</f>
        <v>2.8</v>
      </c>
      <c r="W7" s="190"/>
      <c r="X7" s="190"/>
      <c r="Y7" s="190"/>
      <c r="Z7" s="190"/>
      <c r="AA7" s="190"/>
      <c r="AB7" s="253" t="s">
        <v>368</v>
      </c>
    </row>
    <row r="8" spans="1:28" s="241" customFormat="1" ht="42.75" customHeight="1">
      <c r="A8" s="1072"/>
      <c r="B8" s="190" t="s">
        <v>371</v>
      </c>
      <c r="C8" s="190" t="s">
        <v>317</v>
      </c>
      <c r="D8" s="190">
        <v>5.3</v>
      </c>
      <c r="E8" s="190">
        <v>7.8</v>
      </c>
      <c r="F8" s="190">
        <v>9</v>
      </c>
      <c r="G8" s="190" t="s">
        <v>61</v>
      </c>
      <c r="H8" s="192">
        <v>40</v>
      </c>
      <c r="I8" s="190">
        <v>8</v>
      </c>
      <c r="J8" s="190">
        <f>I8</f>
        <v>8</v>
      </c>
      <c r="K8" s="176" t="s">
        <v>318</v>
      </c>
      <c r="L8" s="190" t="str">
        <f t="shared" si="0"/>
        <v>F</v>
      </c>
      <c r="M8" s="190">
        <f>39.6</f>
        <v>39.6</v>
      </c>
      <c r="N8" s="190"/>
      <c r="O8" s="190" t="s">
        <v>34</v>
      </c>
      <c r="P8" s="190">
        <f>2*((7*0.6)*0.24*0.94)</f>
        <v>1.9</v>
      </c>
      <c r="Q8" s="190">
        <f>1.8*6+11.5</f>
        <v>22.3</v>
      </c>
      <c r="R8" s="190" t="s">
        <v>34</v>
      </c>
      <c r="S8" s="190">
        <f>Q8*1.12</f>
        <v>24.98</v>
      </c>
      <c r="T8" s="190">
        <f>S8*1.1</f>
        <v>27.48</v>
      </c>
      <c r="U8" s="190" t="s">
        <v>34</v>
      </c>
      <c r="V8" s="190">
        <f>2*1</f>
        <v>2</v>
      </c>
      <c r="W8" s="190"/>
      <c r="X8" s="190"/>
      <c r="Y8" s="190"/>
      <c r="Z8" s="190"/>
      <c r="AA8" s="190"/>
      <c r="AB8" s="253" t="s">
        <v>374</v>
      </c>
    </row>
    <row r="9" spans="1:28" s="241" customFormat="1" ht="42.75" customHeight="1">
      <c r="A9" s="1072"/>
      <c r="B9" s="190" t="s">
        <v>375</v>
      </c>
      <c r="C9" s="190" t="s">
        <v>317</v>
      </c>
      <c r="D9" s="190">
        <v>6.5</v>
      </c>
      <c r="E9" s="190">
        <v>4</v>
      </c>
      <c r="F9" s="190">
        <v>4</v>
      </c>
      <c r="G9" s="190" t="s">
        <v>54</v>
      </c>
      <c r="H9" s="192">
        <v>40</v>
      </c>
      <c r="I9" s="190">
        <v>4.5</v>
      </c>
      <c r="J9" s="190">
        <v>4.5</v>
      </c>
      <c r="K9" s="190" t="s">
        <v>318</v>
      </c>
      <c r="L9" s="190" t="str">
        <f t="shared" si="0"/>
        <v>A</v>
      </c>
      <c r="M9" s="190">
        <f>E9*D9</f>
        <v>26</v>
      </c>
      <c r="N9" s="190"/>
      <c r="O9" s="190" t="s">
        <v>34</v>
      </c>
      <c r="P9" s="190">
        <f>0.4*0.4*6</f>
        <v>0.96</v>
      </c>
      <c r="Q9" s="190">
        <f>1.8*5</f>
        <v>9</v>
      </c>
      <c r="R9" s="190">
        <f>3.6*5</f>
        <v>18</v>
      </c>
      <c r="S9" s="190">
        <f>Q9</f>
        <v>9</v>
      </c>
      <c r="T9" s="190">
        <f>Q9+R9*1.32</f>
        <v>32.76</v>
      </c>
      <c r="U9" s="190">
        <f>R9*1.12</f>
        <v>20.16</v>
      </c>
      <c r="V9" s="190">
        <f>3.6*1</f>
        <v>3.6</v>
      </c>
      <c r="W9" s="190"/>
      <c r="X9" s="190"/>
      <c r="Y9" s="190"/>
      <c r="Z9" s="190"/>
      <c r="AA9" s="190"/>
      <c r="AB9" s="253" t="s">
        <v>374</v>
      </c>
    </row>
    <row r="10" spans="1:28" s="241" customFormat="1" ht="42.75" customHeight="1">
      <c r="A10" s="1072"/>
      <c r="B10" s="190" t="s">
        <v>376</v>
      </c>
      <c r="C10" s="190" t="s">
        <v>317</v>
      </c>
      <c r="D10" s="190">
        <v>5.2</v>
      </c>
      <c r="E10" s="190">
        <v>5</v>
      </c>
      <c r="F10" s="190">
        <v>5</v>
      </c>
      <c r="G10" s="190" t="s">
        <v>56</v>
      </c>
      <c r="H10" s="192">
        <v>40</v>
      </c>
      <c r="I10" s="190">
        <f>10.8/2</f>
        <v>5.4</v>
      </c>
      <c r="J10" s="190">
        <f>I10</f>
        <v>5.4</v>
      </c>
      <c r="K10" s="190" t="s">
        <v>318</v>
      </c>
      <c r="L10" s="190" t="str">
        <f t="shared" si="0"/>
        <v>B</v>
      </c>
      <c r="M10" s="190">
        <f>F10*D10</f>
        <v>26</v>
      </c>
      <c r="N10" s="190"/>
      <c r="O10" s="190" t="s">
        <v>34</v>
      </c>
      <c r="P10" s="190" t="s">
        <v>360</v>
      </c>
      <c r="Q10" s="190">
        <f>1.8*5</f>
        <v>9</v>
      </c>
      <c r="R10" s="190">
        <f>3*5</f>
        <v>15</v>
      </c>
      <c r="S10" s="190">
        <f>Q10</f>
        <v>9</v>
      </c>
      <c r="T10" s="190">
        <f>Q10+R10*1.32</f>
        <v>28.8</v>
      </c>
      <c r="U10" s="190">
        <f>R10*1.12</f>
        <v>16.8</v>
      </c>
      <c r="V10" s="190">
        <f>3*1</f>
        <v>3</v>
      </c>
      <c r="W10" s="190"/>
      <c r="X10" s="190"/>
      <c r="Y10" s="190"/>
      <c r="Z10" s="190"/>
      <c r="AA10" s="190"/>
      <c r="AB10" s="253" t="s">
        <v>377</v>
      </c>
    </row>
    <row r="11" spans="1:28" s="241" customFormat="1" ht="42.75" customHeight="1">
      <c r="A11" s="1072"/>
      <c r="B11" s="190" t="s">
        <v>378</v>
      </c>
      <c r="C11" s="190" t="s">
        <v>317</v>
      </c>
      <c r="D11" s="190">
        <v>5.2</v>
      </c>
      <c r="E11" s="190">
        <v>5</v>
      </c>
      <c r="F11" s="190">
        <v>5</v>
      </c>
      <c r="G11" s="190" t="s">
        <v>56</v>
      </c>
      <c r="H11" s="192" t="s">
        <v>360</v>
      </c>
      <c r="I11" s="190" t="s">
        <v>360</v>
      </c>
      <c r="J11" s="190" t="s">
        <v>360</v>
      </c>
      <c r="K11" s="190" t="s">
        <v>360</v>
      </c>
      <c r="L11" s="190" t="str">
        <f t="shared" si="0"/>
        <v>B</v>
      </c>
      <c r="M11" s="190">
        <f>F11*D11</f>
        <v>26</v>
      </c>
      <c r="N11" s="190"/>
      <c r="O11" s="190">
        <f>0.15*1.5*2*3</f>
        <v>1.35</v>
      </c>
      <c r="P11" s="190" t="s">
        <v>360</v>
      </c>
      <c r="Q11" s="190">
        <f>1.8*5</f>
        <v>9</v>
      </c>
      <c r="R11" s="190">
        <f>3*5</f>
        <v>15</v>
      </c>
      <c r="S11" s="190">
        <f>Q11</f>
        <v>9</v>
      </c>
      <c r="T11" s="190">
        <f>Q11+R11*1.32</f>
        <v>28.8</v>
      </c>
      <c r="U11" s="190">
        <f>R11*1.12</f>
        <v>16.8</v>
      </c>
      <c r="V11" s="190">
        <f>3*1</f>
        <v>3</v>
      </c>
      <c r="W11" s="190"/>
      <c r="X11" s="190"/>
      <c r="Y11" s="190"/>
      <c r="Z11" s="190"/>
      <c r="AA11" s="190"/>
      <c r="AB11" s="253" t="s">
        <v>379</v>
      </c>
    </row>
    <row r="12" spans="1:28" s="241" customFormat="1" ht="42.75" customHeight="1">
      <c r="A12" s="1072"/>
      <c r="B12" s="190" t="s">
        <v>380</v>
      </c>
      <c r="C12" s="190" t="s">
        <v>317</v>
      </c>
      <c r="D12" s="190">
        <v>4.4000000000000004</v>
      </c>
      <c r="E12" s="190">
        <v>5</v>
      </c>
      <c r="F12" s="190">
        <v>5</v>
      </c>
      <c r="G12" s="190" t="s">
        <v>48</v>
      </c>
      <c r="H12" s="192">
        <v>40</v>
      </c>
      <c r="I12" s="190">
        <v>5.5</v>
      </c>
      <c r="J12" s="190">
        <v>5.5</v>
      </c>
      <c r="K12" s="190" t="s">
        <v>318</v>
      </c>
      <c r="L12" s="190" t="str">
        <f t="shared" si="0"/>
        <v>D</v>
      </c>
      <c r="M12" s="190">
        <f>D12*E12</f>
        <v>22</v>
      </c>
      <c r="N12" s="190"/>
      <c r="O12" s="190" t="s">
        <v>360</v>
      </c>
      <c r="P12" s="190">
        <f>2*0.15*4.5*1.2</f>
        <v>1.62</v>
      </c>
      <c r="Q12" s="190">
        <f>1.8*5</f>
        <v>9</v>
      </c>
      <c r="R12" s="190">
        <f>2.1*5</f>
        <v>10.5</v>
      </c>
      <c r="S12" s="190">
        <f>Q12</f>
        <v>9</v>
      </c>
      <c r="T12" s="190">
        <f>Q12+R12*1.32</f>
        <v>22.86</v>
      </c>
      <c r="U12" s="190">
        <f>R12*1.12</f>
        <v>11.76</v>
      </c>
      <c r="V12" s="190">
        <f>2.5</f>
        <v>2.5</v>
      </c>
      <c r="W12" s="190"/>
      <c r="X12" s="190"/>
      <c r="Y12" s="190"/>
      <c r="Z12" s="190"/>
      <c r="AA12" s="190"/>
      <c r="AB12" s="253" t="s">
        <v>374</v>
      </c>
    </row>
    <row r="13" spans="1:28" s="241" customFormat="1" ht="42.75" customHeight="1">
      <c r="A13" s="1072"/>
      <c r="B13" s="190" t="s">
        <v>381</v>
      </c>
      <c r="C13" s="190" t="s">
        <v>317</v>
      </c>
      <c r="D13" s="190">
        <v>4</v>
      </c>
      <c r="E13" s="190">
        <v>5</v>
      </c>
      <c r="F13" s="190">
        <v>7.4</v>
      </c>
      <c r="G13" s="190" t="s">
        <v>56</v>
      </c>
      <c r="H13" s="192">
        <v>40</v>
      </c>
      <c r="I13" s="190">
        <v>5</v>
      </c>
      <c r="J13" s="190">
        <f>I13</f>
        <v>5</v>
      </c>
      <c r="K13" s="190" t="s">
        <v>318</v>
      </c>
      <c r="L13" s="190" t="str">
        <f t="shared" si="0"/>
        <v>B</v>
      </c>
      <c r="M13" s="190">
        <f>D13*E13</f>
        <v>20</v>
      </c>
      <c r="N13" s="190"/>
      <c r="O13" s="190" t="s">
        <v>34</v>
      </c>
      <c r="P13" s="190">
        <f>2*0.2*4.5*1.2</f>
        <v>2.16</v>
      </c>
      <c r="Q13" s="190">
        <f>1.8*5.5</f>
        <v>9.9</v>
      </c>
      <c r="R13" s="190">
        <f>3*5.5</f>
        <v>16.5</v>
      </c>
      <c r="S13" s="190">
        <f>Q13</f>
        <v>9.9</v>
      </c>
      <c r="T13" s="190">
        <f>Q13+R13*1.32</f>
        <v>31.68</v>
      </c>
      <c r="U13" s="190">
        <f>R13*1.12</f>
        <v>18.48</v>
      </c>
      <c r="V13" s="190">
        <f>3</f>
        <v>3</v>
      </c>
      <c r="W13" s="190"/>
      <c r="X13" s="190"/>
      <c r="Y13" s="190"/>
      <c r="Z13" s="190"/>
      <c r="AA13" s="190"/>
      <c r="AB13" s="253" t="s">
        <v>374</v>
      </c>
    </row>
    <row r="14" spans="1:28" s="241" customFormat="1" ht="13.5" customHeight="1">
      <c r="A14" s="1075" t="s">
        <v>34</v>
      </c>
      <c r="B14" s="1042" t="s">
        <v>402</v>
      </c>
      <c r="C14" s="1042" t="s">
        <v>34</v>
      </c>
      <c r="D14" s="240" t="s">
        <v>34</v>
      </c>
      <c r="E14" s="240" t="s">
        <v>34</v>
      </c>
      <c r="F14" s="240" t="s">
        <v>34</v>
      </c>
      <c r="G14" s="240" t="s">
        <v>34</v>
      </c>
      <c r="H14" s="194" t="s">
        <v>34</v>
      </c>
      <c r="I14" s="240">
        <f>SUM(I5:I13)</f>
        <v>28.4</v>
      </c>
      <c r="J14" s="240">
        <f>SUM(J5:J13)</f>
        <v>28.4</v>
      </c>
      <c r="K14" s="194" t="s">
        <v>34</v>
      </c>
      <c r="L14" s="194" t="s">
        <v>54</v>
      </c>
      <c r="M14" s="240">
        <f>M6+M9</f>
        <v>52.55</v>
      </c>
      <c r="N14" s="190"/>
      <c r="O14" s="240">
        <f t="shared" ref="O14:V14" si="1">SUM(O5:O13)</f>
        <v>1.35</v>
      </c>
      <c r="P14" s="240">
        <f t="shared" si="1"/>
        <v>6.64</v>
      </c>
      <c r="Q14" s="240">
        <f t="shared" si="1"/>
        <v>97</v>
      </c>
      <c r="R14" s="240">
        <f t="shared" si="1"/>
        <v>121.4</v>
      </c>
      <c r="S14" s="240">
        <f t="shared" si="1"/>
        <v>99.68</v>
      </c>
      <c r="T14" s="240">
        <f t="shared" si="1"/>
        <v>262.45999999999998</v>
      </c>
      <c r="U14" s="240">
        <f t="shared" si="1"/>
        <v>135.91</v>
      </c>
      <c r="V14" s="240">
        <f t="shared" si="1"/>
        <v>25.9</v>
      </c>
      <c r="W14" s="240" t="s">
        <v>360</v>
      </c>
      <c r="X14" s="240"/>
      <c r="Y14" s="240"/>
      <c r="Z14" s="240"/>
      <c r="AA14" s="240"/>
      <c r="AB14" s="254" t="s">
        <v>34</v>
      </c>
    </row>
    <row r="15" spans="1:28" s="241" customFormat="1" ht="16.5" customHeight="1">
      <c r="A15" s="1076"/>
      <c r="B15" s="1078"/>
      <c r="C15" s="1079"/>
      <c r="D15" s="1079"/>
      <c r="E15" s="1079"/>
      <c r="F15" s="1079"/>
      <c r="G15" s="1079"/>
      <c r="H15" s="1079"/>
      <c r="I15" s="1079"/>
      <c r="J15" s="1079"/>
      <c r="K15" s="1080"/>
      <c r="L15" s="194" t="s">
        <v>56</v>
      </c>
      <c r="M15" s="240">
        <f>M7+M10+M11+M13</f>
        <v>100.8</v>
      </c>
      <c r="N15" s="238"/>
      <c r="O15" s="1078"/>
      <c r="P15" s="1079"/>
      <c r="Q15" s="1079"/>
      <c r="R15" s="1079"/>
      <c r="S15" s="1079"/>
      <c r="T15" s="1079"/>
      <c r="U15" s="1079"/>
      <c r="V15" s="1079"/>
      <c r="W15" s="1079"/>
      <c r="X15" s="1079"/>
      <c r="Y15" s="1079"/>
      <c r="Z15" s="1079"/>
      <c r="AA15" s="1079"/>
      <c r="AB15" s="1087"/>
    </row>
    <row r="16" spans="1:28" s="241" customFormat="1" ht="16.5" hidden="1" customHeight="1">
      <c r="A16" s="1076"/>
      <c r="B16" s="1081"/>
      <c r="C16" s="1082"/>
      <c r="D16" s="1082"/>
      <c r="E16" s="1082"/>
      <c r="F16" s="1082"/>
      <c r="G16" s="1082"/>
      <c r="H16" s="1082"/>
      <c r="I16" s="1082"/>
      <c r="J16" s="1082"/>
      <c r="K16" s="1083"/>
      <c r="L16" s="194" t="s">
        <v>58</v>
      </c>
      <c r="M16" s="240">
        <v>0</v>
      </c>
      <c r="N16" s="238"/>
      <c r="O16" s="1081"/>
      <c r="P16" s="1082"/>
      <c r="Q16" s="1082"/>
      <c r="R16" s="1082"/>
      <c r="S16" s="1082"/>
      <c r="T16" s="1082"/>
      <c r="U16" s="1082"/>
      <c r="V16" s="1082"/>
      <c r="W16" s="1082"/>
      <c r="X16" s="1082"/>
      <c r="Y16" s="1082"/>
      <c r="Z16" s="1082"/>
      <c r="AA16" s="1082"/>
      <c r="AB16" s="1088"/>
    </row>
    <row r="17" spans="1:28" s="241" customFormat="1" ht="15.75" customHeight="1">
      <c r="A17" s="1076"/>
      <c r="B17" s="1081"/>
      <c r="C17" s="1082"/>
      <c r="D17" s="1082"/>
      <c r="E17" s="1082"/>
      <c r="F17" s="1082"/>
      <c r="G17" s="1082"/>
      <c r="H17" s="1082"/>
      <c r="I17" s="1082"/>
      <c r="J17" s="1082"/>
      <c r="K17" s="1083"/>
      <c r="L17" s="194" t="s">
        <v>48</v>
      </c>
      <c r="M17" s="240">
        <f>M5+M12</f>
        <v>55.15</v>
      </c>
      <c r="N17" s="238"/>
      <c r="O17" s="1081"/>
      <c r="P17" s="1082"/>
      <c r="Q17" s="1082"/>
      <c r="R17" s="1082"/>
      <c r="S17" s="1082"/>
      <c r="T17" s="1082"/>
      <c r="U17" s="1082"/>
      <c r="V17" s="1082"/>
      <c r="W17" s="1082"/>
      <c r="X17" s="1082"/>
      <c r="Y17" s="1082"/>
      <c r="Z17" s="1082"/>
      <c r="AA17" s="1082"/>
      <c r="AB17" s="1088"/>
    </row>
    <row r="18" spans="1:28" s="241" customFormat="1" ht="15" hidden="1" customHeight="1">
      <c r="A18" s="1076"/>
      <c r="B18" s="1081"/>
      <c r="C18" s="1082"/>
      <c r="D18" s="1082"/>
      <c r="E18" s="1082"/>
      <c r="F18" s="1082"/>
      <c r="G18" s="1082"/>
      <c r="H18" s="1082"/>
      <c r="I18" s="1082"/>
      <c r="J18" s="1082"/>
      <c r="K18" s="1083"/>
      <c r="L18" s="194" t="s">
        <v>49</v>
      </c>
      <c r="M18" s="240"/>
      <c r="N18" s="238"/>
      <c r="O18" s="1081"/>
      <c r="P18" s="1082"/>
      <c r="Q18" s="1082"/>
      <c r="R18" s="1082"/>
      <c r="S18" s="1082"/>
      <c r="T18" s="1082"/>
      <c r="U18" s="1082"/>
      <c r="V18" s="1082"/>
      <c r="W18" s="1082"/>
      <c r="X18" s="1082"/>
      <c r="Y18" s="1082"/>
      <c r="Z18" s="1082"/>
      <c r="AA18" s="1082"/>
      <c r="AB18" s="1088"/>
    </row>
    <row r="19" spans="1:28" s="241" customFormat="1" ht="12.75" customHeight="1">
      <c r="A19" s="1077"/>
      <c r="B19" s="1084"/>
      <c r="C19" s="1085"/>
      <c r="D19" s="1085"/>
      <c r="E19" s="1085"/>
      <c r="F19" s="1085"/>
      <c r="G19" s="1085"/>
      <c r="H19" s="1085"/>
      <c r="I19" s="1085"/>
      <c r="J19" s="1085"/>
      <c r="K19" s="1086"/>
      <c r="L19" s="194" t="s">
        <v>61</v>
      </c>
      <c r="M19" s="240">
        <f>M8</f>
        <v>39.6</v>
      </c>
      <c r="N19" s="238"/>
      <c r="O19" s="1084"/>
      <c r="P19" s="1085"/>
      <c r="Q19" s="1085"/>
      <c r="R19" s="1085"/>
      <c r="S19" s="1085"/>
      <c r="T19" s="1085"/>
      <c r="U19" s="1085"/>
      <c r="V19" s="1085"/>
      <c r="W19" s="1085"/>
      <c r="X19" s="1085"/>
      <c r="Y19" s="1085"/>
      <c r="Z19" s="1085"/>
      <c r="AA19" s="1085"/>
      <c r="AB19" s="1089"/>
    </row>
    <row r="20" spans="1:28" s="241" customFormat="1" ht="16.5" hidden="1" customHeight="1">
      <c r="A20" s="255"/>
      <c r="B20" s="238"/>
      <c r="C20" s="238"/>
      <c r="D20" s="238"/>
      <c r="E20" s="238"/>
      <c r="F20" s="238"/>
      <c r="G20" s="238"/>
      <c r="H20" s="243"/>
      <c r="I20" s="238"/>
      <c r="J20" s="238"/>
      <c r="K20" s="238"/>
      <c r="L20" s="194" t="s">
        <v>63</v>
      </c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56"/>
    </row>
    <row r="21" spans="1:28" s="241" customFormat="1" ht="46.5" customHeight="1">
      <c r="A21" s="257" t="s">
        <v>392</v>
      </c>
      <c r="B21" s="238" t="s">
        <v>384</v>
      </c>
      <c r="C21" s="238" t="s">
        <v>317</v>
      </c>
      <c r="D21" s="238">
        <v>4</v>
      </c>
      <c r="E21" s="238">
        <v>8.5</v>
      </c>
      <c r="F21" s="238">
        <v>8.5</v>
      </c>
      <c r="G21" s="238" t="s">
        <v>54</v>
      </c>
      <c r="H21" s="243" t="s">
        <v>360</v>
      </c>
      <c r="I21" s="238" t="s">
        <v>360</v>
      </c>
      <c r="J21" s="238" t="s">
        <v>360</v>
      </c>
      <c r="K21" s="238" t="s">
        <v>360</v>
      </c>
      <c r="L21" s="238" t="str">
        <f t="shared" ref="L21:L29" si="2">G21</f>
        <v>A</v>
      </c>
      <c r="M21" s="238">
        <f>E21*D21</f>
        <v>34</v>
      </c>
      <c r="N21" s="239" t="s">
        <v>34</v>
      </c>
      <c r="O21" s="239" t="s">
        <v>360</v>
      </c>
      <c r="P21" s="239" t="s">
        <v>360</v>
      </c>
      <c r="Q21" s="239">
        <f>1.8*6</f>
        <v>10.8</v>
      </c>
      <c r="R21" s="190">
        <f>2*6</f>
        <v>12</v>
      </c>
      <c r="S21" s="190">
        <f t="shared" ref="S21:S29" si="3">Q21</f>
        <v>10.8</v>
      </c>
      <c r="T21" s="190">
        <f>Q21+R21*1.32</f>
        <v>26.64</v>
      </c>
      <c r="U21" s="190">
        <f>R21*1.12</f>
        <v>13.44</v>
      </c>
      <c r="V21" s="190">
        <f>2</f>
        <v>2</v>
      </c>
      <c r="W21" s="238" t="s">
        <v>360</v>
      </c>
      <c r="X21" s="238"/>
      <c r="Y21" s="238"/>
      <c r="Z21" s="238"/>
      <c r="AA21" s="238" t="s">
        <v>360</v>
      </c>
      <c r="AB21" s="258" t="s">
        <v>368</v>
      </c>
    </row>
    <row r="22" spans="1:28" s="241" customFormat="1" ht="54" customHeight="1">
      <c r="A22" s="1071" t="s">
        <v>401</v>
      </c>
      <c r="B22" s="238" t="s">
        <v>385</v>
      </c>
      <c r="C22" s="238" t="s">
        <v>317</v>
      </c>
      <c r="D22" s="238">
        <v>4</v>
      </c>
      <c r="E22" s="238">
        <v>10</v>
      </c>
      <c r="F22" s="238">
        <v>10</v>
      </c>
      <c r="G22" s="238" t="s">
        <v>61</v>
      </c>
      <c r="H22" s="243">
        <v>40</v>
      </c>
      <c r="I22" s="238">
        <v>19</v>
      </c>
      <c r="J22" s="238">
        <v>19</v>
      </c>
      <c r="K22" s="238" t="s">
        <v>318</v>
      </c>
      <c r="L22" s="238" t="str">
        <f t="shared" si="2"/>
        <v>F</v>
      </c>
      <c r="M22" s="238">
        <f>E22*D22</f>
        <v>40</v>
      </c>
      <c r="N22" s="239"/>
      <c r="O22" s="239">
        <f>10*0.15*0.3</f>
        <v>0.45</v>
      </c>
      <c r="P22" s="239" t="s">
        <v>360</v>
      </c>
      <c r="Q22" s="239">
        <f>1.8*6</f>
        <v>10.8</v>
      </c>
      <c r="R22" s="190" t="s">
        <v>360</v>
      </c>
      <c r="S22" s="190">
        <f t="shared" si="3"/>
        <v>10.8</v>
      </c>
      <c r="T22" s="190">
        <f>Q22</f>
        <v>10.8</v>
      </c>
      <c r="U22" s="190">
        <v>0</v>
      </c>
      <c r="V22" s="190">
        <f>4*0.5*2</f>
        <v>4</v>
      </c>
      <c r="W22" s="238">
        <f>6*2+2.6</f>
        <v>14.6</v>
      </c>
      <c r="X22" s="238"/>
      <c r="Y22" s="238"/>
      <c r="Z22" s="238"/>
      <c r="AA22" s="238">
        <v>10</v>
      </c>
      <c r="AB22" s="258" t="s">
        <v>388</v>
      </c>
    </row>
    <row r="23" spans="1:28" s="241" customFormat="1" ht="39" customHeight="1">
      <c r="A23" s="1072"/>
      <c r="B23" s="238" t="s">
        <v>389</v>
      </c>
      <c r="C23" s="238" t="s">
        <v>317</v>
      </c>
      <c r="D23" s="238">
        <v>3.6</v>
      </c>
      <c r="E23" s="238">
        <v>5</v>
      </c>
      <c r="F23" s="238">
        <v>5</v>
      </c>
      <c r="G23" s="238" t="s">
        <v>54</v>
      </c>
      <c r="H23" s="243">
        <v>40</v>
      </c>
      <c r="I23" s="238">
        <v>5</v>
      </c>
      <c r="J23" s="238">
        <v>5</v>
      </c>
      <c r="K23" s="238" t="s">
        <v>318</v>
      </c>
      <c r="L23" s="238" t="str">
        <f t="shared" si="2"/>
        <v>A</v>
      </c>
      <c r="M23" s="238">
        <f>D23*E23</f>
        <v>18</v>
      </c>
      <c r="N23" s="239"/>
      <c r="O23" s="239" t="s">
        <v>360</v>
      </c>
      <c r="P23" s="239" t="s">
        <v>360</v>
      </c>
      <c r="Q23" s="239">
        <f>1.8*5</f>
        <v>9</v>
      </c>
      <c r="R23" s="190">
        <f>1.5*5</f>
        <v>7.5</v>
      </c>
      <c r="S23" s="190">
        <f t="shared" si="3"/>
        <v>9</v>
      </c>
      <c r="T23" s="190">
        <f t="shared" ref="T23:T29" si="4">Q23+R23*1.32</f>
        <v>18.899999999999999</v>
      </c>
      <c r="U23" s="190">
        <f t="shared" ref="U23:U30" si="5">R23*1.12</f>
        <v>8.4</v>
      </c>
      <c r="V23" s="190">
        <f>1.5</f>
        <v>1.5</v>
      </c>
      <c r="W23" s="238" t="s">
        <v>360</v>
      </c>
      <c r="X23" s="238"/>
      <c r="Y23" s="238"/>
      <c r="Z23" s="238"/>
      <c r="AA23" s="238" t="s">
        <v>360</v>
      </c>
      <c r="AB23" s="258" t="s">
        <v>377</v>
      </c>
    </row>
    <row r="24" spans="1:28" s="241" customFormat="1" ht="27.75" customHeight="1">
      <c r="A24" s="1072"/>
      <c r="B24" s="238" t="s">
        <v>390</v>
      </c>
      <c r="C24" s="238" t="s">
        <v>317</v>
      </c>
      <c r="D24" s="238">
        <v>4</v>
      </c>
      <c r="E24" s="238">
        <v>4.5</v>
      </c>
      <c r="F24" s="238">
        <v>4.5</v>
      </c>
      <c r="G24" s="238" t="s">
        <v>48</v>
      </c>
      <c r="H24" s="243">
        <v>40</v>
      </c>
      <c r="I24" s="238">
        <v>4.5</v>
      </c>
      <c r="J24" s="238">
        <f>I24</f>
        <v>4.5</v>
      </c>
      <c r="K24" s="238" t="s">
        <v>318</v>
      </c>
      <c r="L24" s="238" t="str">
        <f t="shared" si="2"/>
        <v>D</v>
      </c>
      <c r="M24" s="238">
        <f>D24*E24</f>
        <v>18</v>
      </c>
      <c r="N24" s="239"/>
      <c r="O24" s="239" t="s">
        <v>360</v>
      </c>
      <c r="P24" s="239" t="s">
        <v>360</v>
      </c>
      <c r="Q24" s="239">
        <f>1.8*4.5</f>
        <v>8.1</v>
      </c>
      <c r="R24" s="190">
        <f>2.5*4.5</f>
        <v>11.25</v>
      </c>
      <c r="S24" s="190">
        <f t="shared" si="3"/>
        <v>8.1</v>
      </c>
      <c r="T24" s="190">
        <f t="shared" si="4"/>
        <v>22.95</v>
      </c>
      <c r="U24" s="190">
        <f t="shared" si="5"/>
        <v>12.6</v>
      </c>
      <c r="V24" s="190">
        <f>2.5*2*0.5</f>
        <v>2.5</v>
      </c>
      <c r="W24" s="238" t="s">
        <v>360</v>
      </c>
      <c r="X24" s="238"/>
      <c r="Y24" s="238"/>
      <c r="Z24" s="238"/>
      <c r="AA24" s="238" t="s">
        <v>360</v>
      </c>
      <c r="AB24" s="258" t="s">
        <v>377</v>
      </c>
    </row>
    <row r="25" spans="1:28" s="241" customFormat="1" ht="27.75" customHeight="1">
      <c r="A25" s="1072"/>
      <c r="B25" s="238" t="s">
        <v>391</v>
      </c>
      <c r="C25" s="238" t="s">
        <v>317</v>
      </c>
      <c r="D25" s="238">
        <v>4</v>
      </c>
      <c r="E25" s="238">
        <v>4.5</v>
      </c>
      <c r="F25" s="238">
        <v>4.5</v>
      </c>
      <c r="G25" s="238" t="s">
        <v>48</v>
      </c>
      <c r="H25" s="243">
        <v>40</v>
      </c>
      <c r="I25" s="238">
        <v>4.5</v>
      </c>
      <c r="J25" s="238">
        <f>I25</f>
        <v>4.5</v>
      </c>
      <c r="K25" s="238" t="s">
        <v>318</v>
      </c>
      <c r="L25" s="238" t="str">
        <f t="shared" si="2"/>
        <v>D</v>
      </c>
      <c r="M25" s="238">
        <f>D25*E25</f>
        <v>18</v>
      </c>
      <c r="N25" s="239"/>
      <c r="O25" s="239" t="s">
        <v>360</v>
      </c>
      <c r="P25" s="239" t="s">
        <v>360</v>
      </c>
      <c r="Q25" s="239">
        <f>1.8*4.5</f>
        <v>8.1</v>
      </c>
      <c r="R25" s="190">
        <f>2.5*4.5</f>
        <v>11.25</v>
      </c>
      <c r="S25" s="190">
        <f t="shared" si="3"/>
        <v>8.1</v>
      </c>
      <c r="T25" s="190">
        <f t="shared" si="4"/>
        <v>22.95</v>
      </c>
      <c r="U25" s="190">
        <f t="shared" si="5"/>
        <v>12.6</v>
      </c>
      <c r="V25" s="190">
        <f>2.5*2*0.5</f>
        <v>2.5</v>
      </c>
      <c r="W25" s="238" t="s">
        <v>360</v>
      </c>
      <c r="X25" s="238"/>
      <c r="Y25" s="238"/>
      <c r="Z25" s="238"/>
      <c r="AA25" s="238" t="s">
        <v>360</v>
      </c>
      <c r="AB25" s="258" t="s">
        <v>377</v>
      </c>
    </row>
    <row r="26" spans="1:28" s="241" customFormat="1" ht="27.75" customHeight="1">
      <c r="A26" s="1072"/>
      <c r="B26" s="238" t="s">
        <v>393</v>
      </c>
      <c r="C26" s="238" t="s">
        <v>317</v>
      </c>
      <c r="D26" s="238">
        <v>4</v>
      </c>
      <c r="E26" s="238">
        <v>4.5</v>
      </c>
      <c r="F26" s="238">
        <v>4.5</v>
      </c>
      <c r="G26" s="238" t="s">
        <v>54</v>
      </c>
      <c r="H26" s="243" t="s">
        <v>360</v>
      </c>
      <c r="I26" s="238" t="s">
        <v>360</v>
      </c>
      <c r="J26" s="238" t="s">
        <v>360</v>
      </c>
      <c r="K26" s="238" t="s">
        <v>360</v>
      </c>
      <c r="L26" s="238" t="str">
        <f t="shared" si="2"/>
        <v>A</v>
      </c>
      <c r="M26" s="238">
        <f>E26*D26</f>
        <v>18</v>
      </c>
      <c r="N26" s="239"/>
      <c r="O26" s="239" t="s">
        <v>360</v>
      </c>
      <c r="P26" s="239" t="s">
        <v>360</v>
      </c>
      <c r="Q26" s="239">
        <f>1.8*4.5</f>
        <v>8.1</v>
      </c>
      <c r="R26" s="190">
        <f>1.5*4.5</f>
        <v>6.75</v>
      </c>
      <c r="S26" s="190">
        <f t="shared" si="3"/>
        <v>8.1</v>
      </c>
      <c r="T26" s="190">
        <f t="shared" si="4"/>
        <v>17.010000000000002</v>
      </c>
      <c r="U26" s="190">
        <f t="shared" si="5"/>
        <v>7.56</v>
      </c>
      <c r="V26" s="190">
        <f>1.5*2*0.5</f>
        <v>1.5</v>
      </c>
      <c r="W26" s="238" t="s">
        <v>360</v>
      </c>
      <c r="X26" s="238"/>
      <c r="Y26" s="238"/>
      <c r="Z26" s="238"/>
      <c r="AA26" s="238" t="s">
        <v>360</v>
      </c>
      <c r="AB26" s="258" t="s">
        <v>394</v>
      </c>
    </row>
    <row r="27" spans="1:28" s="241" customFormat="1" ht="27.75" customHeight="1">
      <c r="A27" s="1072"/>
      <c r="B27" s="238" t="s">
        <v>395</v>
      </c>
      <c r="C27" s="238" t="s">
        <v>317</v>
      </c>
      <c r="D27" s="238">
        <v>4</v>
      </c>
      <c r="E27" s="238">
        <v>4.5</v>
      </c>
      <c r="F27" s="238">
        <v>4.5</v>
      </c>
      <c r="G27" s="238" t="s">
        <v>49</v>
      </c>
      <c r="H27" s="243">
        <v>40</v>
      </c>
      <c r="I27" s="238">
        <v>5</v>
      </c>
      <c r="J27" s="238">
        <f>I27</f>
        <v>5</v>
      </c>
      <c r="K27" s="238" t="s">
        <v>318</v>
      </c>
      <c r="L27" s="238" t="str">
        <f t="shared" si="2"/>
        <v>E</v>
      </c>
      <c r="M27" s="238">
        <f>E27*D27</f>
        <v>18</v>
      </c>
      <c r="N27" s="239"/>
      <c r="O27" s="239" t="s">
        <v>360</v>
      </c>
      <c r="P27" s="239" t="s">
        <v>360</v>
      </c>
      <c r="Q27" s="239">
        <f>1.8*4.5</f>
        <v>8.1</v>
      </c>
      <c r="R27" s="190">
        <f>1*4.5</f>
        <v>4.5</v>
      </c>
      <c r="S27" s="190">
        <f t="shared" si="3"/>
        <v>8.1</v>
      </c>
      <c r="T27" s="190">
        <f t="shared" si="4"/>
        <v>14.04</v>
      </c>
      <c r="U27" s="190">
        <f t="shared" si="5"/>
        <v>5.04</v>
      </c>
      <c r="V27" s="190">
        <f>1*2*0.5</f>
        <v>1</v>
      </c>
      <c r="W27" s="238" t="s">
        <v>360</v>
      </c>
      <c r="X27" s="238"/>
      <c r="Y27" s="238"/>
      <c r="Z27" s="238"/>
      <c r="AA27" s="238" t="s">
        <v>360</v>
      </c>
      <c r="AB27" s="258" t="s">
        <v>397</v>
      </c>
    </row>
    <row r="28" spans="1:28" s="241" customFormat="1" ht="27.75" customHeight="1">
      <c r="A28" s="1072"/>
      <c r="B28" s="238" t="s">
        <v>396</v>
      </c>
      <c r="C28" s="238" t="s">
        <v>317</v>
      </c>
      <c r="D28" s="238">
        <v>4.5</v>
      </c>
      <c r="E28" s="238">
        <v>8.5</v>
      </c>
      <c r="F28" s="238">
        <v>8.5</v>
      </c>
      <c r="G28" s="238" t="s">
        <v>63</v>
      </c>
      <c r="H28" s="243">
        <v>40</v>
      </c>
      <c r="I28" s="238">
        <v>8.5</v>
      </c>
      <c r="J28" s="238">
        <f>I28</f>
        <v>8.5</v>
      </c>
      <c r="K28" s="238" t="s">
        <v>318</v>
      </c>
      <c r="L28" s="238" t="str">
        <f t="shared" si="2"/>
        <v>G</v>
      </c>
      <c r="M28" s="238">
        <f>D28*E28</f>
        <v>38.25</v>
      </c>
      <c r="N28" s="239"/>
      <c r="O28" s="239" t="s">
        <v>360</v>
      </c>
      <c r="P28" s="239" t="s">
        <v>360</v>
      </c>
      <c r="Q28" s="239">
        <f>1.8*5</f>
        <v>9</v>
      </c>
      <c r="R28" s="190">
        <f>2.5*5</f>
        <v>12.5</v>
      </c>
      <c r="S28" s="190">
        <f t="shared" si="3"/>
        <v>9</v>
      </c>
      <c r="T28" s="190">
        <f t="shared" si="4"/>
        <v>25.5</v>
      </c>
      <c r="U28" s="190">
        <f t="shared" si="5"/>
        <v>14</v>
      </c>
      <c r="V28" s="190">
        <f>1.5*2*0.5</f>
        <v>1.5</v>
      </c>
      <c r="W28" s="238" t="s">
        <v>360</v>
      </c>
      <c r="X28" s="238"/>
      <c r="Y28" s="238"/>
      <c r="Z28" s="238"/>
      <c r="AA28" s="238" t="s">
        <v>360</v>
      </c>
      <c r="AB28" s="258" t="s">
        <v>397</v>
      </c>
    </row>
    <row r="29" spans="1:28" s="241" customFormat="1" ht="27.75" customHeight="1">
      <c r="A29" s="1072"/>
      <c r="B29" s="238" t="s">
        <v>398</v>
      </c>
      <c r="C29" s="238" t="s">
        <v>317</v>
      </c>
      <c r="D29" s="238">
        <v>5</v>
      </c>
      <c r="E29" s="238">
        <v>4</v>
      </c>
      <c r="F29" s="238">
        <v>4</v>
      </c>
      <c r="G29" s="238" t="s">
        <v>54</v>
      </c>
      <c r="H29" s="243">
        <v>40</v>
      </c>
      <c r="I29" s="238">
        <v>4</v>
      </c>
      <c r="J29" s="238">
        <f>I29</f>
        <v>4</v>
      </c>
      <c r="K29" s="238" t="s">
        <v>318</v>
      </c>
      <c r="L29" s="238" t="str">
        <f t="shared" si="2"/>
        <v>A</v>
      </c>
      <c r="M29" s="238">
        <f>D29*E29</f>
        <v>20</v>
      </c>
      <c r="N29" s="239"/>
      <c r="O29" s="239" t="s">
        <v>360</v>
      </c>
      <c r="P29" s="239" t="s">
        <v>360</v>
      </c>
      <c r="Q29" s="239">
        <f>1.8*6</f>
        <v>10.8</v>
      </c>
      <c r="R29" s="190">
        <f>1.5*6</f>
        <v>9</v>
      </c>
      <c r="S29" s="190">
        <f t="shared" si="3"/>
        <v>10.8</v>
      </c>
      <c r="T29" s="190">
        <f t="shared" si="4"/>
        <v>22.68</v>
      </c>
      <c r="U29" s="190">
        <f t="shared" si="5"/>
        <v>10.08</v>
      </c>
      <c r="V29" s="190">
        <f>2.5*2*0.5</f>
        <v>2.5</v>
      </c>
      <c r="W29" s="238" t="s">
        <v>360</v>
      </c>
      <c r="X29" s="238"/>
      <c r="Y29" s="238"/>
      <c r="Z29" s="238"/>
      <c r="AA29" s="238" t="s">
        <v>360</v>
      </c>
      <c r="AB29" s="258" t="s">
        <v>397</v>
      </c>
    </row>
    <row r="30" spans="1:28" s="241" customFormat="1" ht="27.75" customHeight="1">
      <c r="A30" s="1072"/>
      <c r="B30" s="238" t="s">
        <v>399</v>
      </c>
      <c r="C30" s="238" t="s">
        <v>317</v>
      </c>
      <c r="D30" s="238">
        <v>6.2</v>
      </c>
      <c r="E30" s="238">
        <v>4</v>
      </c>
      <c r="F30" s="412">
        <v>5.5</v>
      </c>
      <c r="G30" s="238" t="s">
        <v>48</v>
      </c>
      <c r="H30" s="243" t="s">
        <v>360</v>
      </c>
      <c r="I30" s="238" t="s">
        <v>360</v>
      </c>
      <c r="J30" s="238" t="s">
        <v>360</v>
      </c>
      <c r="K30" s="238" t="s">
        <v>360</v>
      </c>
      <c r="L30" s="238" t="s">
        <v>360</v>
      </c>
      <c r="M30" s="238" t="s">
        <v>360</v>
      </c>
      <c r="N30" s="239"/>
      <c r="O30" s="239" t="s">
        <v>360</v>
      </c>
      <c r="P30" s="239" t="s">
        <v>360</v>
      </c>
      <c r="Q30" s="239" t="s">
        <v>360</v>
      </c>
      <c r="R30" s="190">
        <v>13.6</v>
      </c>
      <c r="S30" s="190" t="s">
        <v>360</v>
      </c>
      <c r="T30" s="190">
        <f>R30*1.32</f>
        <v>17.95</v>
      </c>
      <c r="U30" s="190">
        <f t="shared" si="5"/>
        <v>15.23</v>
      </c>
      <c r="V30" s="190">
        <f>2.5*2*0.5</f>
        <v>2.5</v>
      </c>
      <c r="W30" s="238" t="s">
        <v>360</v>
      </c>
      <c r="X30" s="238"/>
      <c r="Y30" s="238"/>
      <c r="Z30" s="238"/>
      <c r="AA30" s="238"/>
      <c r="AB30" s="258" t="s">
        <v>400</v>
      </c>
    </row>
    <row r="31" spans="1:28" s="241" customFormat="1" ht="54" customHeight="1">
      <c r="A31" s="1090" t="s">
        <v>360</v>
      </c>
      <c r="B31" s="1042" t="s">
        <v>402</v>
      </c>
      <c r="C31" s="1042"/>
      <c r="D31" s="240" t="s">
        <v>34</v>
      </c>
      <c r="E31" s="409" t="s">
        <v>34</v>
      </c>
      <c r="F31" s="240" t="s">
        <v>34</v>
      </c>
      <c r="G31" s="240" t="s">
        <v>34</v>
      </c>
      <c r="H31" s="194" t="s">
        <v>34</v>
      </c>
      <c r="I31" s="240">
        <f>SUM(I22:I30)</f>
        <v>50.5</v>
      </c>
      <c r="J31" s="240">
        <f>SUM(J22:J30)</f>
        <v>50.5</v>
      </c>
      <c r="K31" s="194" t="s">
        <v>34</v>
      </c>
      <c r="L31" s="194" t="s">
        <v>54</v>
      </c>
      <c r="M31" s="240">
        <f>M23+M26+M29</f>
        <v>56</v>
      </c>
      <c r="N31" s="239"/>
      <c r="O31" s="240">
        <f t="shared" ref="O31:AA31" si="6">SUM(O22:O30)</f>
        <v>0.45</v>
      </c>
      <c r="P31" s="240">
        <f t="shared" si="6"/>
        <v>0</v>
      </c>
      <c r="Q31" s="240">
        <f t="shared" si="6"/>
        <v>72</v>
      </c>
      <c r="R31" s="240">
        <f t="shared" si="6"/>
        <v>76.349999999999994</v>
      </c>
      <c r="S31" s="240">
        <f t="shared" si="6"/>
        <v>72</v>
      </c>
      <c r="T31" s="240">
        <f t="shared" si="6"/>
        <v>172.78</v>
      </c>
      <c r="U31" s="240">
        <f t="shared" si="6"/>
        <v>85.51</v>
      </c>
      <c r="V31" s="240">
        <f t="shared" si="6"/>
        <v>19.5</v>
      </c>
      <c r="W31" s="240">
        <f t="shared" si="6"/>
        <v>14.6</v>
      </c>
      <c r="X31" s="240">
        <f t="shared" si="6"/>
        <v>0</v>
      </c>
      <c r="Y31" s="240">
        <f t="shared" si="6"/>
        <v>0</v>
      </c>
      <c r="Z31" s="240">
        <f t="shared" si="6"/>
        <v>0</v>
      </c>
      <c r="AA31" s="240">
        <f t="shared" si="6"/>
        <v>10</v>
      </c>
      <c r="AB31" s="254" t="s">
        <v>34</v>
      </c>
    </row>
    <row r="32" spans="1:28" s="241" customFormat="1" ht="18.75" customHeight="1">
      <c r="A32" s="1090"/>
      <c r="B32" s="1078"/>
      <c r="C32" s="1079"/>
      <c r="D32" s="1079"/>
      <c r="E32" s="1079"/>
      <c r="F32" s="1079"/>
      <c r="G32" s="1079"/>
      <c r="H32" s="1079"/>
      <c r="I32" s="1079"/>
      <c r="J32" s="1079"/>
      <c r="K32" s="1092"/>
      <c r="L32" s="414" t="s">
        <v>48</v>
      </c>
      <c r="M32" s="417">
        <f>M24+M25</f>
        <v>36</v>
      </c>
      <c r="N32" s="239"/>
      <c r="O32" s="1096"/>
      <c r="P32" s="1097"/>
      <c r="Q32" s="1097"/>
      <c r="R32" s="1097"/>
      <c r="S32" s="1097"/>
      <c r="T32" s="1097"/>
      <c r="U32" s="1097"/>
      <c r="V32" s="1097"/>
      <c r="W32" s="1097"/>
      <c r="X32" s="1097"/>
      <c r="Y32" s="1097"/>
      <c r="Z32" s="1097"/>
      <c r="AA32" s="1097"/>
      <c r="AB32" s="1098"/>
    </row>
    <row r="33" spans="1:28" s="241" customFormat="1" ht="16.5" customHeight="1">
      <c r="A33" s="1090"/>
      <c r="B33" s="1081"/>
      <c r="C33" s="1082"/>
      <c r="D33" s="1082"/>
      <c r="E33" s="1082"/>
      <c r="F33" s="1082"/>
      <c r="G33" s="1082"/>
      <c r="H33" s="1082"/>
      <c r="I33" s="1082"/>
      <c r="J33" s="1082"/>
      <c r="K33" s="1083"/>
      <c r="L33" s="194" t="s">
        <v>49</v>
      </c>
      <c r="M33" s="240">
        <f>M27</f>
        <v>18</v>
      </c>
      <c r="N33" s="239"/>
      <c r="O33" s="1099"/>
      <c r="P33" s="1100"/>
      <c r="Q33" s="1100"/>
      <c r="R33" s="1100"/>
      <c r="S33" s="1100"/>
      <c r="T33" s="1100"/>
      <c r="U33" s="1100"/>
      <c r="V33" s="1100"/>
      <c r="W33" s="1100"/>
      <c r="X33" s="1100"/>
      <c r="Y33" s="1100"/>
      <c r="Z33" s="1100"/>
      <c r="AA33" s="1100"/>
      <c r="AB33" s="1101"/>
    </row>
    <row r="34" spans="1:28" s="241" customFormat="1" ht="15" customHeight="1">
      <c r="A34" s="1090"/>
      <c r="B34" s="1081"/>
      <c r="C34" s="1082"/>
      <c r="D34" s="1082"/>
      <c r="E34" s="1082"/>
      <c r="F34" s="1082"/>
      <c r="G34" s="1082"/>
      <c r="H34" s="1082"/>
      <c r="I34" s="1082"/>
      <c r="J34" s="1082"/>
      <c r="K34" s="1083"/>
      <c r="L34" s="194" t="s">
        <v>61</v>
      </c>
      <c r="M34" s="240">
        <f>M22</f>
        <v>40</v>
      </c>
      <c r="N34" s="239"/>
      <c r="O34" s="1099"/>
      <c r="P34" s="1100"/>
      <c r="Q34" s="1100"/>
      <c r="R34" s="1100"/>
      <c r="S34" s="1100"/>
      <c r="T34" s="1100"/>
      <c r="U34" s="1100"/>
      <c r="V34" s="1100"/>
      <c r="W34" s="1100"/>
      <c r="X34" s="1100"/>
      <c r="Y34" s="1100"/>
      <c r="Z34" s="1100"/>
      <c r="AA34" s="1100"/>
      <c r="AB34" s="1101"/>
    </row>
    <row r="35" spans="1:28" ht="18.75" customHeight="1" thickBot="1">
      <c r="A35" s="1091"/>
      <c r="B35" s="1093"/>
      <c r="C35" s="1094"/>
      <c r="D35" s="1094"/>
      <c r="E35" s="1094"/>
      <c r="F35" s="1094"/>
      <c r="G35" s="1094"/>
      <c r="H35" s="1094"/>
      <c r="I35" s="1094"/>
      <c r="J35" s="1094"/>
      <c r="K35" s="1095"/>
      <c r="L35" s="259" t="s">
        <v>63</v>
      </c>
      <c r="M35" s="260">
        <f>M28</f>
        <v>38.25</v>
      </c>
      <c r="N35" s="261"/>
      <c r="O35" s="1102"/>
      <c r="P35" s="1103"/>
      <c r="Q35" s="1103"/>
      <c r="R35" s="1103"/>
      <c r="S35" s="1103"/>
      <c r="T35" s="1103"/>
      <c r="U35" s="1103"/>
      <c r="V35" s="1103"/>
      <c r="W35" s="1103"/>
      <c r="X35" s="1103"/>
      <c r="Y35" s="1103"/>
      <c r="Z35" s="1103"/>
      <c r="AA35" s="1103"/>
      <c r="AB35" s="1104"/>
    </row>
    <row r="36" spans="1:28">
      <c r="A36" s="241"/>
      <c r="B36" s="241"/>
      <c r="C36" s="241"/>
      <c r="D36" s="241"/>
      <c r="E36" s="241"/>
      <c r="F36" s="241"/>
    </row>
    <row r="37" spans="1:28">
      <c r="A37" s="241"/>
      <c r="B37" s="241"/>
      <c r="C37" s="241"/>
      <c r="D37" s="241"/>
      <c r="E37" s="241"/>
      <c r="F37" s="241"/>
      <c r="Q37" s="176">
        <f>Q31+Q14</f>
        <v>169</v>
      </c>
    </row>
    <row r="38" spans="1:28">
      <c r="A38" s="241"/>
      <c r="B38" s="241"/>
      <c r="C38" s="241"/>
      <c r="D38" s="241"/>
      <c r="E38" s="241"/>
      <c r="F38" s="241"/>
    </row>
    <row r="39" spans="1:28">
      <c r="F39" s="410"/>
    </row>
    <row r="40" spans="1:28">
      <c r="E40" s="410"/>
    </row>
    <row r="41" spans="1:28" ht="15.75">
      <c r="B41" s="400" t="s">
        <v>319</v>
      </c>
      <c r="C41" s="400"/>
      <c r="D41" s="400"/>
      <c r="E41" s="425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</row>
    <row r="43" spans="1:28" ht="27" customHeight="1">
      <c r="B43" s="200" t="s">
        <v>82</v>
      </c>
      <c r="C43" s="200" t="s">
        <v>320</v>
      </c>
      <c r="D43" s="200" t="s">
        <v>321</v>
      </c>
      <c r="E43" s="201" t="s">
        <v>322</v>
      </c>
      <c r="F43" s="201" t="s">
        <v>323</v>
      </c>
    </row>
    <row r="44" spans="1:28" ht="51">
      <c r="B44" s="191" t="s">
        <v>83</v>
      </c>
      <c r="C44" s="191" t="s">
        <v>572</v>
      </c>
      <c r="D44" s="191" t="s">
        <v>9</v>
      </c>
      <c r="E44" s="265" t="s">
        <v>34</v>
      </c>
      <c r="F44" s="191">
        <v>1</v>
      </c>
    </row>
    <row r="45" spans="1:28" ht="51">
      <c r="B45" s="191" t="s">
        <v>84</v>
      </c>
      <c r="C45" s="191" t="s">
        <v>571</v>
      </c>
      <c r="D45" s="191" t="s">
        <v>9</v>
      </c>
      <c r="E45" s="191" t="s">
        <v>34</v>
      </c>
      <c r="F45" s="424">
        <v>2</v>
      </c>
    </row>
    <row r="46" spans="1:28" ht="76.5">
      <c r="B46" s="191" t="s">
        <v>85</v>
      </c>
      <c r="C46" s="191" t="s">
        <v>573</v>
      </c>
      <c r="D46" s="191" t="s">
        <v>9</v>
      </c>
      <c r="E46" s="424" t="s">
        <v>34</v>
      </c>
      <c r="F46" s="191">
        <v>2</v>
      </c>
    </row>
    <row r="47" spans="1:28">
      <c r="B47" s="196"/>
      <c r="C47" s="196"/>
      <c r="D47" s="196"/>
      <c r="E47" s="196"/>
      <c r="F47" s="196"/>
    </row>
    <row r="48" spans="1:28">
      <c r="B48" s="196"/>
      <c r="C48" s="196"/>
      <c r="D48" s="196"/>
      <c r="E48" s="196"/>
      <c r="F48" s="196"/>
    </row>
    <row r="49" spans="2:26">
      <c r="B49" s="196"/>
      <c r="C49" s="196"/>
      <c r="D49" s="196"/>
      <c r="E49" s="196"/>
      <c r="F49" s="196"/>
    </row>
    <row r="50" spans="2:26">
      <c r="B50" s="196"/>
      <c r="C50" s="196"/>
      <c r="D50" s="196"/>
      <c r="E50" s="196"/>
      <c r="F50" s="196"/>
    </row>
    <row r="52" spans="2:26" ht="15.75">
      <c r="B52" s="195"/>
      <c r="C52" s="195"/>
      <c r="D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</row>
    <row r="53" spans="2:26" ht="15.75">
      <c r="E53" s="195"/>
    </row>
    <row r="54" spans="2:26" hidden="1">
      <c r="B54" s="200"/>
      <c r="C54" s="200"/>
      <c r="D54" s="200"/>
      <c r="E54" s="200"/>
      <c r="F54" s="201"/>
    </row>
    <row r="55" spans="2:26" hidden="1">
      <c r="B55" s="1061"/>
      <c r="C55" s="1061"/>
      <c r="D55" s="1064"/>
      <c r="E55" s="1067"/>
      <c r="F55" s="1068"/>
    </row>
    <row r="56" spans="2:26" hidden="1">
      <c r="B56" s="1062"/>
      <c r="C56" s="1062"/>
      <c r="D56" s="1065"/>
      <c r="E56" s="1067"/>
      <c r="F56" s="1069"/>
    </row>
    <row r="57" spans="2:26" ht="117.75" hidden="1" customHeight="1">
      <c r="B57" s="1063"/>
      <c r="C57" s="1063"/>
      <c r="D57" s="1066"/>
      <c r="E57" s="1067"/>
      <c r="F57" s="1070"/>
    </row>
    <row r="58" spans="2:26">
      <c r="E58" s="197"/>
    </row>
  </sheetData>
  <mergeCells count="21">
    <mergeCell ref="A31:A35"/>
    <mergeCell ref="B31:C31"/>
    <mergeCell ref="B32:K35"/>
    <mergeCell ref="O32:AB35"/>
    <mergeCell ref="B55:B57"/>
    <mergeCell ref="C55:C57"/>
    <mergeCell ref="D55:D57"/>
    <mergeCell ref="E55:E57"/>
    <mergeCell ref="F55:F57"/>
    <mergeCell ref="A22:A30"/>
    <mergeCell ref="B2:Z2"/>
    <mergeCell ref="A3:M3"/>
    <mergeCell ref="O3:P3"/>
    <mergeCell ref="Q3:R3"/>
    <mergeCell ref="S3:U3"/>
    <mergeCell ref="L4:M4"/>
    <mergeCell ref="A5:A13"/>
    <mergeCell ref="A14:A19"/>
    <mergeCell ref="B14:C14"/>
    <mergeCell ref="B15:K19"/>
    <mergeCell ref="O15:AB19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62"/>
  <sheetViews>
    <sheetView view="pageBreakPreview" topLeftCell="A13" zoomScale="115" zoomScaleNormal="100" zoomScaleSheetLayoutView="115" workbookViewId="0">
      <selection activeCell="V104" sqref="V104"/>
    </sheetView>
  </sheetViews>
  <sheetFormatPr defaultRowHeight="12.75"/>
  <cols>
    <col min="4" max="4" width="9.5703125" customWidth="1"/>
    <col min="5" max="5" width="13.42578125" customWidth="1"/>
    <col min="6" max="6" width="12.28515625" customWidth="1"/>
    <col min="8" max="9" width="10.140625" customWidth="1"/>
  </cols>
  <sheetData>
    <row r="1" spans="1:9">
      <c r="E1" s="1116" t="s">
        <v>231</v>
      </c>
      <c r="F1" s="1116"/>
    </row>
    <row r="2" spans="1:9" ht="9" customHeight="1">
      <c r="E2" s="1117"/>
      <c r="F2" s="1117"/>
    </row>
    <row r="3" spans="1:9" ht="25.5" customHeight="1">
      <c r="A3" s="1118" t="s">
        <v>232</v>
      </c>
      <c r="B3" s="1118"/>
      <c r="C3" s="1118"/>
      <c r="D3" s="1118"/>
      <c r="E3" s="1118"/>
      <c r="F3" s="1118"/>
      <c r="G3" s="160"/>
      <c r="H3" s="160"/>
      <c r="I3" s="160"/>
    </row>
    <row r="4" spans="1:9" ht="24" customHeight="1">
      <c r="A4" s="1119" t="s">
        <v>326</v>
      </c>
      <c r="B4" s="1119"/>
      <c r="C4" s="1119"/>
      <c r="D4" s="1119"/>
      <c r="E4" s="1119"/>
      <c r="F4" s="1119"/>
      <c r="G4" s="161"/>
      <c r="H4" s="161"/>
      <c r="I4" s="161"/>
    </row>
    <row r="5" spans="1:9" ht="61.5" customHeight="1">
      <c r="A5" s="1119"/>
      <c r="B5" s="1119"/>
      <c r="C5" s="1119"/>
      <c r="D5" s="1119"/>
      <c r="E5" s="1119"/>
      <c r="F5" s="1119"/>
      <c r="G5" s="161"/>
      <c r="H5" s="161"/>
      <c r="I5" s="161"/>
    </row>
    <row r="6" spans="1:9" ht="18" customHeight="1">
      <c r="A6" s="1120" t="s">
        <v>233</v>
      </c>
      <c r="B6" s="1121"/>
      <c r="C6" s="1121"/>
      <c r="D6" s="1121"/>
      <c r="E6" s="1121"/>
      <c r="F6" s="1122"/>
      <c r="G6" s="161"/>
      <c r="H6" s="161"/>
      <c r="I6" s="161"/>
    </row>
    <row r="7" spans="1:9" ht="12.75" customHeight="1">
      <c r="A7" s="1123" t="s">
        <v>234</v>
      </c>
      <c r="B7" s="1123" t="s">
        <v>235</v>
      </c>
      <c r="C7" s="1123" t="s">
        <v>236</v>
      </c>
      <c r="D7" s="1125" t="s">
        <v>237</v>
      </c>
      <c r="E7" s="1125"/>
      <c r="F7" s="1125"/>
    </row>
    <row r="8" spans="1:9" ht="12.75" customHeight="1">
      <c r="A8" s="1124"/>
      <c r="B8" s="1124"/>
      <c r="C8" s="1123"/>
      <c r="D8" s="1123" t="s">
        <v>238</v>
      </c>
      <c r="E8" s="1123" t="s">
        <v>239</v>
      </c>
      <c r="F8" s="1123" t="s">
        <v>240</v>
      </c>
    </row>
    <row r="9" spans="1:9" ht="6" customHeight="1">
      <c r="A9" s="1124"/>
      <c r="B9" s="1124"/>
      <c r="C9" s="1123"/>
      <c r="D9" s="1123"/>
      <c r="E9" s="1123"/>
      <c r="F9" s="1123"/>
    </row>
    <row r="10" spans="1:9" ht="4.5" customHeight="1">
      <c r="A10" s="1124"/>
      <c r="B10" s="1124"/>
      <c r="C10" s="1123"/>
      <c r="D10" s="1123"/>
      <c r="E10" s="1123"/>
      <c r="F10" s="1123"/>
    </row>
    <row r="11" spans="1:9">
      <c r="A11" s="1111">
        <v>13</v>
      </c>
      <c r="B11" s="1108">
        <v>780</v>
      </c>
      <c r="C11" s="163" t="s">
        <v>34</v>
      </c>
      <c r="D11" s="1107">
        <v>2</v>
      </c>
      <c r="E11" s="164" t="s">
        <v>34</v>
      </c>
      <c r="F11" s="164" t="s">
        <v>34</v>
      </c>
      <c r="H11" s="1105"/>
    </row>
    <row r="12" spans="1:9">
      <c r="A12" s="1111"/>
      <c r="B12" s="1108"/>
      <c r="C12" s="1109">
        <f>B13-B11</f>
        <v>2.4</v>
      </c>
      <c r="D12" s="1107"/>
      <c r="E12" s="1107">
        <f>SUM(0.5*D11,0.5*D13)</f>
        <v>1</v>
      </c>
      <c r="F12" s="1107">
        <f>PRODUCT(C12,E12)</f>
        <v>2.4</v>
      </c>
      <c r="H12" s="1105"/>
    </row>
    <row r="13" spans="1:9">
      <c r="A13" s="1111"/>
      <c r="B13" s="1108">
        <v>782.4</v>
      </c>
      <c r="C13" s="1109"/>
      <c r="D13" s="1107">
        <v>0</v>
      </c>
      <c r="E13" s="1107"/>
      <c r="F13" s="1107"/>
      <c r="H13" s="1105"/>
    </row>
    <row r="14" spans="1:9">
      <c r="A14" s="1111"/>
      <c r="B14" s="1108"/>
      <c r="C14" s="1109">
        <f>B15-B13</f>
        <v>28.9</v>
      </c>
      <c r="D14" s="1107"/>
      <c r="E14" s="1107">
        <f>SUM(0.5*D13,0.5*D15)</f>
        <v>1.33</v>
      </c>
      <c r="F14" s="1107">
        <f>PRODUCT(C14,E14)</f>
        <v>38.44</v>
      </c>
      <c r="H14" s="1105"/>
    </row>
    <row r="15" spans="1:9">
      <c r="A15" s="1111"/>
      <c r="B15" s="1108">
        <v>811.3</v>
      </c>
      <c r="C15" s="1109"/>
      <c r="D15" s="1107">
        <v>2.65</v>
      </c>
      <c r="E15" s="1107"/>
      <c r="F15" s="1107"/>
      <c r="H15" s="1105"/>
    </row>
    <row r="16" spans="1:9">
      <c r="A16" s="1111"/>
      <c r="B16" s="1108"/>
      <c r="C16" s="1109">
        <f>B17-B15</f>
        <v>18.7</v>
      </c>
      <c r="D16" s="1107"/>
      <c r="E16" s="1107">
        <f>SUM(0.5*D15,0.5*D17)</f>
        <v>2.7</v>
      </c>
      <c r="F16" s="1107">
        <f>PRODUCT(C16,E16)</f>
        <v>50.49</v>
      </c>
      <c r="H16" s="1105"/>
    </row>
    <row r="17" spans="1:8">
      <c r="A17" s="1111"/>
      <c r="B17" s="1108">
        <v>830</v>
      </c>
      <c r="C17" s="1109"/>
      <c r="D17" s="1107">
        <v>2.75</v>
      </c>
      <c r="E17" s="1107"/>
      <c r="F17" s="1107"/>
      <c r="H17" s="1105"/>
    </row>
    <row r="18" spans="1:8">
      <c r="A18" s="1111"/>
      <c r="B18" s="1108"/>
      <c r="C18" s="1109">
        <f>B19-B17</f>
        <v>31.6</v>
      </c>
      <c r="D18" s="1107"/>
      <c r="E18" s="1107">
        <f>SUM(0.5*D17,0.5*D19)</f>
        <v>2.93</v>
      </c>
      <c r="F18" s="1107">
        <f>PRODUCT(C18,E18)</f>
        <v>92.59</v>
      </c>
      <c r="H18" s="1105"/>
    </row>
    <row r="19" spans="1:8">
      <c r="A19" s="1111"/>
      <c r="B19" s="1108">
        <v>861.6</v>
      </c>
      <c r="C19" s="1109"/>
      <c r="D19" s="1107">
        <v>3.1</v>
      </c>
      <c r="E19" s="1107"/>
      <c r="F19" s="1107"/>
      <c r="H19" s="1105"/>
    </row>
    <row r="20" spans="1:8">
      <c r="A20" s="1111"/>
      <c r="B20" s="1108"/>
      <c r="C20" s="1109">
        <f>B21-B19</f>
        <v>18.399999999999999</v>
      </c>
      <c r="D20" s="1107"/>
      <c r="E20" s="1107">
        <f>SUM(0.5*D19,0.5*D21)</f>
        <v>3</v>
      </c>
      <c r="F20" s="1107">
        <f>PRODUCT(C20,E20)</f>
        <v>55.2</v>
      </c>
      <c r="H20" s="1105"/>
    </row>
    <row r="21" spans="1:8">
      <c r="A21" s="1111"/>
      <c r="B21" s="1108">
        <v>880</v>
      </c>
      <c r="C21" s="1109"/>
      <c r="D21" s="1107">
        <v>2.9</v>
      </c>
      <c r="E21" s="1107"/>
      <c r="F21" s="1107"/>
      <c r="H21" s="1105"/>
    </row>
    <row r="22" spans="1:8">
      <c r="A22" s="1111"/>
      <c r="B22" s="1108"/>
      <c r="C22" s="1109">
        <f>B23-B21</f>
        <v>23.7</v>
      </c>
      <c r="D22" s="1107"/>
      <c r="E22" s="1107">
        <f>SUM(0.5*D21,0.5*D23)</f>
        <v>1.45</v>
      </c>
      <c r="F22" s="1107">
        <f>PRODUCT(C22,E22)</f>
        <v>34.369999999999997</v>
      </c>
      <c r="H22" s="1105"/>
    </row>
    <row r="23" spans="1:8">
      <c r="A23" s="1111"/>
      <c r="B23" s="1108">
        <v>903.7</v>
      </c>
      <c r="C23" s="1109"/>
      <c r="D23" s="1107">
        <v>0</v>
      </c>
      <c r="E23" s="1107"/>
      <c r="F23" s="1107"/>
      <c r="H23" s="1105"/>
    </row>
    <row r="24" spans="1:8">
      <c r="A24" s="1111"/>
      <c r="B24" s="1108"/>
      <c r="C24" s="1109">
        <f>B25-B23</f>
        <v>34.299999999999997</v>
      </c>
      <c r="D24" s="1107"/>
      <c r="E24" s="1107">
        <f>SUM(0.5*D23,0.5*D25)</f>
        <v>1.63</v>
      </c>
      <c r="F24" s="1107">
        <f>PRODUCT(C24,E24)</f>
        <v>55.91</v>
      </c>
      <c r="H24" s="1105"/>
    </row>
    <row r="25" spans="1:8">
      <c r="A25" s="1111"/>
      <c r="B25" s="1108">
        <v>938</v>
      </c>
      <c r="C25" s="1109"/>
      <c r="D25" s="1107">
        <v>3.25</v>
      </c>
      <c r="E25" s="1107"/>
      <c r="F25" s="1107"/>
      <c r="H25" s="1105"/>
    </row>
    <row r="26" spans="1:8" ht="13.5" customHeight="1">
      <c r="A26" s="1111"/>
      <c r="B26" s="1108"/>
      <c r="C26" s="163" t="s">
        <v>34</v>
      </c>
      <c r="D26" s="1110"/>
      <c r="E26" s="205" t="s">
        <v>34</v>
      </c>
      <c r="F26" s="205" t="s">
        <v>34</v>
      </c>
      <c r="H26" s="1105"/>
    </row>
    <row r="27" spans="1:8" ht="13.5" customHeight="1">
      <c r="A27" s="209"/>
      <c r="B27" s="210"/>
      <c r="C27" s="211"/>
      <c r="D27" s="1112" t="s">
        <v>242</v>
      </c>
      <c r="E27" s="1112"/>
      <c r="F27" s="1113">
        <f>F12+F14+F16+F18+F20+F22+F24</f>
        <v>329.4</v>
      </c>
      <c r="H27" s="176"/>
    </row>
    <row r="28" spans="1:8" ht="13.5" customHeight="1">
      <c r="A28" s="212"/>
      <c r="B28" s="176"/>
      <c r="C28" s="213"/>
      <c r="D28" s="1112"/>
      <c r="E28" s="1112"/>
      <c r="F28" s="1113"/>
      <c r="H28" s="176"/>
    </row>
    <row r="29" spans="1:8" ht="13.5" customHeight="1">
      <c r="A29" s="212"/>
      <c r="B29" s="176"/>
      <c r="C29" s="213"/>
      <c r="D29" s="1112" t="s">
        <v>243</v>
      </c>
      <c r="E29" s="1112"/>
      <c r="F29" s="1113">
        <f>-(I48+I49+I50)</f>
        <v>-56.03</v>
      </c>
      <c r="H29" s="176"/>
    </row>
    <row r="30" spans="1:8" ht="13.5" customHeight="1">
      <c r="A30" s="212"/>
      <c r="B30" s="176"/>
      <c r="C30" s="213"/>
      <c r="D30" s="1112"/>
      <c r="E30" s="1112"/>
      <c r="F30" s="1113"/>
      <c r="H30" s="176"/>
    </row>
    <row r="31" spans="1:8" ht="13.5" customHeight="1">
      <c r="A31" s="212"/>
      <c r="B31" s="176"/>
      <c r="C31" s="213"/>
      <c r="D31" s="1112" t="s">
        <v>340</v>
      </c>
      <c r="E31" s="1112"/>
      <c r="F31" s="1113">
        <f>F27+F29</f>
        <v>273.37</v>
      </c>
    </row>
    <row r="32" spans="1:8" ht="13.5" customHeight="1">
      <c r="A32" s="212"/>
      <c r="B32" s="176"/>
      <c r="C32" s="213"/>
      <c r="D32" s="1112"/>
      <c r="E32" s="1112"/>
      <c r="F32" s="1113"/>
    </row>
    <row r="33" spans="1:9" ht="13.5" customHeight="1">
      <c r="A33" s="212"/>
      <c r="B33" s="176"/>
      <c r="C33" s="213"/>
      <c r="D33" s="215"/>
      <c r="E33" s="215"/>
      <c r="F33" s="216"/>
    </row>
    <row r="34" spans="1:9" ht="13.5" customHeight="1">
      <c r="A34" s="1129" t="s">
        <v>241</v>
      </c>
      <c r="B34" s="1130"/>
      <c r="C34" s="1130"/>
      <c r="D34" s="1130"/>
      <c r="E34" s="1130"/>
      <c r="F34" s="1131"/>
    </row>
    <row r="35" spans="1:9" ht="13.5" customHeight="1">
      <c r="A35" s="1123" t="s">
        <v>234</v>
      </c>
      <c r="B35" s="1123" t="s">
        <v>235</v>
      </c>
      <c r="C35" s="1123" t="s">
        <v>236</v>
      </c>
      <c r="D35" s="1125" t="s">
        <v>237</v>
      </c>
      <c r="E35" s="1125"/>
      <c r="F35" s="1125"/>
    </row>
    <row r="36" spans="1:9" ht="11.25" customHeight="1">
      <c r="A36" s="1124"/>
      <c r="B36" s="1124"/>
      <c r="C36" s="1123"/>
      <c r="D36" s="1123" t="s">
        <v>238</v>
      </c>
      <c r="E36" s="1123" t="s">
        <v>239</v>
      </c>
      <c r="F36" s="1123" t="s">
        <v>240</v>
      </c>
    </row>
    <row r="37" spans="1:9" ht="6.75" customHeight="1">
      <c r="A37" s="1124"/>
      <c r="B37" s="1124"/>
      <c r="C37" s="1123"/>
      <c r="D37" s="1123"/>
      <c r="E37" s="1123"/>
      <c r="F37" s="1123"/>
    </row>
    <row r="38" spans="1:9" ht="13.5" customHeight="1">
      <c r="A38" s="1124"/>
      <c r="B38" s="1124"/>
      <c r="C38" s="1123"/>
      <c r="D38" s="1123"/>
      <c r="E38" s="1123"/>
      <c r="F38" s="1123"/>
    </row>
    <row r="39" spans="1:9" ht="13.5" customHeight="1">
      <c r="A39" s="1111">
        <v>0</v>
      </c>
      <c r="B39" s="1132">
        <v>12</v>
      </c>
      <c r="C39" s="165" t="s">
        <v>34</v>
      </c>
      <c r="D39" s="1133">
        <v>3.25</v>
      </c>
      <c r="E39" s="166" t="s">
        <v>34</v>
      </c>
      <c r="F39" s="166" t="s">
        <v>34</v>
      </c>
    </row>
    <row r="40" spans="1:9" ht="13.5" customHeight="1">
      <c r="A40" s="1111"/>
      <c r="B40" s="1109"/>
      <c r="C40" s="1109">
        <f>B41-B39</f>
        <v>5.7</v>
      </c>
      <c r="D40" s="1110"/>
      <c r="E40" s="1107">
        <f>SUM(0.5*D39,0.5*D41)</f>
        <v>3.4</v>
      </c>
      <c r="F40" s="1107">
        <f>PRODUCT(C40,E40)</f>
        <v>19.38</v>
      </c>
    </row>
    <row r="41" spans="1:9" ht="13.5" customHeight="1">
      <c r="A41" s="1111"/>
      <c r="B41" s="1109">
        <v>17.7</v>
      </c>
      <c r="C41" s="1109"/>
      <c r="D41" s="1107">
        <v>3.55</v>
      </c>
      <c r="E41" s="1107"/>
      <c r="F41" s="1107"/>
    </row>
    <row r="42" spans="1:9" ht="13.5" customHeight="1">
      <c r="A42" s="1111"/>
      <c r="B42" s="1109"/>
      <c r="C42" s="1114">
        <f>B43-B41</f>
        <v>17.3</v>
      </c>
      <c r="D42" s="1110"/>
      <c r="E42" s="1107">
        <f>SUM(0.5*D41,0.5*D43)</f>
        <v>3.53</v>
      </c>
      <c r="F42" s="1107">
        <f>PRODUCT(C42,E42)</f>
        <v>61.07</v>
      </c>
    </row>
    <row r="43" spans="1:9" ht="13.5" customHeight="1">
      <c r="A43" s="1111"/>
      <c r="B43" s="1109">
        <v>35</v>
      </c>
      <c r="C43" s="1115"/>
      <c r="D43" s="1107">
        <v>3.5</v>
      </c>
      <c r="E43" s="1107"/>
      <c r="F43" s="1107"/>
    </row>
    <row r="44" spans="1:9" ht="13.5" customHeight="1">
      <c r="A44" s="1111"/>
      <c r="B44" s="1109"/>
      <c r="C44" s="1114">
        <f>B45-B43</f>
        <v>17</v>
      </c>
      <c r="D44" s="1110"/>
      <c r="E44" s="1107">
        <f>SUM(0.5*D43,0.5*D45)</f>
        <v>3.49</v>
      </c>
      <c r="F44" s="1107">
        <f>PRODUCT(C44,E44)</f>
        <v>59.33</v>
      </c>
    </row>
    <row r="45" spans="1:9" ht="13.5" customHeight="1">
      <c r="A45" s="1111"/>
      <c r="B45" s="1109">
        <v>52</v>
      </c>
      <c r="C45" s="1115"/>
      <c r="D45" s="1107">
        <v>3.48</v>
      </c>
      <c r="E45" s="1107"/>
      <c r="F45" s="1107"/>
    </row>
    <row r="46" spans="1:9" ht="14.25" customHeight="1">
      <c r="A46" s="1111"/>
      <c r="B46" s="1109"/>
      <c r="C46" s="163" t="s">
        <v>34</v>
      </c>
      <c r="D46" s="1110"/>
      <c r="E46" s="205" t="s">
        <v>34</v>
      </c>
      <c r="F46" s="205" t="s">
        <v>34</v>
      </c>
    </row>
    <row r="47" spans="1:9" ht="13.5" customHeight="1">
      <c r="D47" s="1112" t="s">
        <v>242</v>
      </c>
      <c r="E47" s="1112"/>
      <c r="F47" s="1113">
        <f>F40+F42+F44</f>
        <v>139.78</v>
      </c>
    </row>
    <row r="48" spans="1:9">
      <c r="D48" s="1112"/>
      <c r="E48" s="1112"/>
      <c r="F48" s="1113"/>
      <c r="H48" t="s">
        <v>244</v>
      </c>
      <c r="I48">
        <v>14.012</v>
      </c>
    </row>
    <row r="49" spans="1:9">
      <c r="D49" s="1112" t="s">
        <v>243</v>
      </c>
      <c r="E49" s="1112"/>
      <c r="F49" s="1113">
        <f>-(I51+I52)</f>
        <v>-42.86</v>
      </c>
      <c r="H49" t="s">
        <v>245</v>
      </c>
      <c r="I49">
        <v>12.76</v>
      </c>
    </row>
    <row r="50" spans="1:9">
      <c r="C50" s="168"/>
      <c r="D50" s="1112"/>
      <c r="E50" s="1112"/>
      <c r="F50" s="1113"/>
      <c r="H50" t="s">
        <v>246</v>
      </c>
      <c r="I50">
        <v>29.26</v>
      </c>
    </row>
    <row r="51" spans="1:9">
      <c r="D51" s="1112" t="s">
        <v>341</v>
      </c>
      <c r="E51" s="1112"/>
      <c r="F51" s="1113">
        <f>F47+F49</f>
        <v>96.92</v>
      </c>
      <c r="H51" t="s">
        <v>247</v>
      </c>
      <c r="I51" s="169">
        <v>24.3</v>
      </c>
    </row>
    <row r="52" spans="1:9">
      <c r="C52" s="159"/>
      <c r="D52" s="1112"/>
      <c r="E52" s="1112"/>
      <c r="F52" s="1113"/>
      <c r="H52" t="s">
        <v>248</v>
      </c>
      <c r="I52">
        <v>18.559999999999999</v>
      </c>
    </row>
    <row r="53" spans="1:9" ht="22.5" customHeight="1"/>
    <row r="54" spans="1:9" ht="27.75" customHeight="1">
      <c r="A54" s="1106" t="s">
        <v>344</v>
      </c>
      <c r="B54" s="1106"/>
      <c r="C54" s="1106"/>
      <c r="D54" s="1106"/>
      <c r="E54" s="170">
        <f>'5. Humusowanie'!E57/0.1</f>
        <v>79.900000000000006</v>
      </c>
      <c r="F54" s="171" t="s">
        <v>249</v>
      </c>
      <c r="G54" s="169">
        <f>F51+F31</f>
        <v>370.29</v>
      </c>
      <c r="H54">
        <f>G54*0.15</f>
        <v>55.543500000000002</v>
      </c>
    </row>
    <row r="55" spans="1:9" ht="27.75" customHeight="1">
      <c r="A55" s="1106" t="s">
        <v>343</v>
      </c>
      <c r="B55" s="1106"/>
      <c r="C55" s="1106"/>
      <c r="D55" s="1106"/>
      <c r="E55" s="170">
        <f>'5. Humusowanie'!E59/0.1</f>
        <v>23.5</v>
      </c>
      <c r="F55" s="171" t="s">
        <v>249</v>
      </c>
      <c r="G55" s="169"/>
    </row>
    <row r="56" spans="1:9" ht="30" customHeight="1">
      <c r="A56" s="1106" t="s">
        <v>346</v>
      </c>
      <c r="B56" s="1106"/>
      <c r="C56" s="1106"/>
      <c r="D56" s="1106"/>
      <c r="E56" s="170">
        <f>F31-'5. Humusowanie'!F31</f>
        <v>193.44</v>
      </c>
      <c r="F56" s="171" t="s">
        <v>249</v>
      </c>
      <c r="H56" s="169">
        <f>F51+F31</f>
        <v>370.29</v>
      </c>
    </row>
    <row r="57" spans="1:9" ht="12.75" customHeight="1">
      <c r="A57" s="1106" t="s">
        <v>347</v>
      </c>
      <c r="B57" s="1106"/>
      <c r="C57" s="1106"/>
      <c r="D57" s="1106"/>
      <c r="E57" s="1126">
        <f>F51-'5. Humusowanie'!F52</f>
        <v>73.430000000000007</v>
      </c>
      <c r="F57" s="1128" t="s">
        <v>249</v>
      </c>
    </row>
    <row r="58" spans="1:9">
      <c r="A58" s="1106"/>
      <c r="B58" s="1106"/>
      <c r="C58" s="1106"/>
      <c r="D58" s="1106"/>
      <c r="E58" s="1127"/>
      <c r="F58" s="1128"/>
    </row>
    <row r="62" spans="1:9">
      <c r="F62" s="169"/>
    </row>
  </sheetData>
  <mergeCells count="101">
    <mergeCell ref="A57:D58"/>
    <mergeCell ref="E57:E58"/>
    <mergeCell ref="F57:F58"/>
    <mergeCell ref="D27:E28"/>
    <mergeCell ref="F27:F28"/>
    <mergeCell ref="D29:E30"/>
    <mergeCell ref="F29:F30"/>
    <mergeCell ref="D31:E32"/>
    <mergeCell ref="F31:F32"/>
    <mergeCell ref="A34:F34"/>
    <mergeCell ref="A35:A38"/>
    <mergeCell ref="B35:B38"/>
    <mergeCell ref="C35:C38"/>
    <mergeCell ref="D35:F35"/>
    <mergeCell ref="D36:D38"/>
    <mergeCell ref="E36:E38"/>
    <mergeCell ref="F36:F38"/>
    <mergeCell ref="A39:A46"/>
    <mergeCell ref="B39:B40"/>
    <mergeCell ref="D39:D40"/>
    <mergeCell ref="C40:C41"/>
    <mergeCell ref="E40:E41"/>
    <mergeCell ref="F40:F41"/>
    <mergeCell ref="B41:B42"/>
    <mergeCell ref="E1:F2"/>
    <mergeCell ref="A3:F3"/>
    <mergeCell ref="A4:F5"/>
    <mergeCell ref="A6:F6"/>
    <mergeCell ref="A7:A10"/>
    <mergeCell ref="B7:B10"/>
    <mergeCell ref="C7:C10"/>
    <mergeCell ref="D7:F7"/>
    <mergeCell ref="D8:D10"/>
    <mergeCell ref="E8:E10"/>
    <mergeCell ref="F8:F10"/>
    <mergeCell ref="B11:B12"/>
    <mergeCell ref="D11:D12"/>
    <mergeCell ref="C12:C13"/>
    <mergeCell ref="E12:E13"/>
    <mergeCell ref="F12:F13"/>
    <mergeCell ref="B13:B14"/>
    <mergeCell ref="D13:D14"/>
    <mergeCell ref="C14:C15"/>
    <mergeCell ref="E14:E15"/>
    <mergeCell ref="F14:F15"/>
    <mergeCell ref="B15:B16"/>
    <mergeCell ref="D15:D16"/>
    <mergeCell ref="C16:C17"/>
    <mergeCell ref="E16:E17"/>
    <mergeCell ref="F16:F17"/>
    <mergeCell ref="B17:B18"/>
    <mergeCell ref="D17:D18"/>
    <mergeCell ref="C18:C19"/>
    <mergeCell ref="E18:E19"/>
    <mergeCell ref="F18:F19"/>
    <mergeCell ref="B19:B20"/>
    <mergeCell ref="D19:D20"/>
    <mergeCell ref="C20:C21"/>
    <mergeCell ref="A56:D56"/>
    <mergeCell ref="D47:E48"/>
    <mergeCell ref="F47:F48"/>
    <mergeCell ref="D49:E50"/>
    <mergeCell ref="F49:F50"/>
    <mergeCell ref="D51:E52"/>
    <mergeCell ref="F51:F52"/>
    <mergeCell ref="A55:D55"/>
    <mergeCell ref="D41:D42"/>
    <mergeCell ref="C42:C43"/>
    <mergeCell ref="E42:E43"/>
    <mergeCell ref="F42:F43"/>
    <mergeCell ref="B43:B44"/>
    <mergeCell ref="D43:D44"/>
    <mergeCell ref="C44:C45"/>
    <mergeCell ref="E44:E45"/>
    <mergeCell ref="F44:F45"/>
    <mergeCell ref="B45:B46"/>
    <mergeCell ref="D45:D46"/>
    <mergeCell ref="H23:H24"/>
    <mergeCell ref="H25:H26"/>
    <mergeCell ref="H11:H12"/>
    <mergeCell ref="H13:H14"/>
    <mergeCell ref="H15:H16"/>
    <mergeCell ref="H17:H18"/>
    <mergeCell ref="H19:H20"/>
    <mergeCell ref="H21:H22"/>
    <mergeCell ref="A54:D54"/>
    <mergeCell ref="E20:E21"/>
    <mergeCell ref="F20:F21"/>
    <mergeCell ref="B21:B22"/>
    <mergeCell ref="D21:D22"/>
    <mergeCell ref="C22:C23"/>
    <mergeCell ref="E22:E23"/>
    <mergeCell ref="F22:F23"/>
    <mergeCell ref="B23:B24"/>
    <mergeCell ref="D23:D24"/>
    <mergeCell ref="C24:C25"/>
    <mergeCell ref="E24:E25"/>
    <mergeCell ref="F24:F25"/>
    <mergeCell ref="B25:B26"/>
    <mergeCell ref="D25:D26"/>
    <mergeCell ref="A11:A2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orientation="portrait" horizontalDpi="4294967293" verticalDpi="4294967293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62"/>
  <sheetViews>
    <sheetView view="pageBreakPreview" topLeftCell="A30" zoomScale="115" zoomScaleNormal="100" zoomScaleSheetLayoutView="115" workbookViewId="0">
      <selection activeCell="V104" sqref="V104"/>
    </sheetView>
  </sheetViews>
  <sheetFormatPr defaultRowHeight="12.75"/>
  <cols>
    <col min="3" max="3" width="10.5703125" customWidth="1"/>
    <col min="4" max="4" width="10.140625" customWidth="1"/>
    <col min="5" max="5" width="13.42578125" customWidth="1"/>
    <col min="6" max="6" width="12.28515625" customWidth="1"/>
    <col min="8" max="9" width="10.140625" customWidth="1"/>
  </cols>
  <sheetData>
    <row r="1" spans="1:9">
      <c r="E1" s="1116" t="s">
        <v>250</v>
      </c>
      <c r="F1" s="1116"/>
    </row>
    <row r="2" spans="1:9" ht="9.75" customHeight="1">
      <c r="E2" s="1117"/>
      <c r="F2" s="1117"/>
    </row>
    <row r="3" spans="1:9" ht="25.5" customHeight="1">
      <c r="A3" s="1118" t="s">
        <v>251</v>
      </c>
      <c r="B3" s="1118"/>
      <c r="C3" s="1118"/>
      <c r="D3" s="1118"/>
      <c r="E3" s="1118"/>
      <c r="F3" s="1118"/>
      <c r="G3" s="160"/>
      <c r="H3" s="160"/>
      <c r="I3" s="160"/>
    </row>
    <row r="4" spans="1:9" ht="24" customHeight="1">
      <c r="A4" s="1119" t="s">
        <v>326</v>
      </c>
      <c r="B4" s="1119"/>
      <c r="C4" s="1119"/>
      <c r="D4" s="1119"/>
      <c r="E4" s="1119"/>
      <c r="F4" s="1119"/>
      <c r="G4" s="161"/>
      <c r="H4" s="161"/>
      <c r="I4" s="161"/>
    </row>
    <row r="5" spans="1:9" ht="48.75" customHeight="1">
      <c r="A5" s="1119"/>
      <c r="B5" s="1119"/>
      <c r="C5" s="1119"/>
      <c r="D5" s="1119"/>
      <c r="E5" s="1119"/>
      <c r="F5" s="1119"/>
      <c r="G5" s="161"/>
      <c r="H5" s="161"/>
      <c r="I5" s="161"/>
    </row>
    <row r="6" spans="1:9" ht="18" customHeight="1">
      <c r="A6" s="1120" t="s">
        <v>233</v>
      </c>
      <c r="B6" s="1121"/>
      <c r="C6" s="1121"/>
      <c r="D6" s="1121"/>
      <c r="E6" s="1121"/>
      <c r="F6" s="1122"/>
      <c r="G6" s="161"/>
      <c r="H6" s="161"/>
      <c r="I6" s="161"/>
    </row>
    <row r="7" spans="1:9" ht="12.75" customHeight="1">
      <c r="A7" s="1123" t="s">
        <v>234</v>
      </c>
      <c r="B7" s="1123" t="s">
        <v>235</v>
      </c>
      <c r="C7" s="1123" t="s">
        <v>236</v>
      </c>
      <c r="D7" s="1125" t="s">
        <v>252</v>
      </c>
      <c r="E7" s="1125"/>
      <c r="F7" s="1125"/>
    </row>
    <row r="8" spans="1:9" ht="12.75" customHeight="1">
      <c r="A8" s="1124"/>
      <c r="B8" s="1124"/>
      <c r="C8" s="1123"/>
      <c r="D8" s="1123" t="s">
        <v>238</v>
      </c>
      <c r="E8" s="1123" t="s">
        <v>239</v>
      </c>
      <c r="F8" s="1123" t="s">
        <v>240</v>
      </c>
    </row>
    <row r="9" spans="1:9" ht="6" customHeight="1">
      <c r="A9" s="1124"/>
      <c r="B9" s="1124"/>
      <c r="C9" s="1123"/>
      <c r="D9" s="1123"/>
      <c r="E9" s="1123"/>
      <c r="F9" s="1123"/>
    </row>
    <row r="10" spans="1:9" ht="4.5" customHeight="1">
      <c r="A10" s="1124"/>
      <c r="B10" s="1124"/>
      <c r="C10" s="1123"/>
      <c r="D10" s="1123"/>
      <c r="E10" s="1123"/>
      <c r="F10" s="1123"/>
    </row>
    <row r="11" spans="1:9">
      <c r="A11" s="1111">
        <v>13</v>
      </c>
      <c r="B11" s="1109">
        <v>780</v>
      </c>
      <c r="C11" s="163" t="s">
        <v>34</v>
      </c>
      <c r="D11" s="1107">
        <v>0</v>
      </c>
      <c r="E11" s="164" t="s">
        <v>34</v>
      </c>
      <c r="F11" s="164" t="s">
        <v>34</v>
      </c>
    </row>
    <row r="12" spans="1:9">
      <c r="A12" s="1111"/>
      <c r="B12" s="1109"/>
      <c r="C12" s="1109">
        <f>B13-B11</f>
        <v>2.4</v>
      </c>
      <c r="D12" s="1107"/>
      <c r="E12" s="1107">
        <f>SUM(0.5*D11,0.5*D13)</f>
        <v>0</v>
      </c>
      <c r="F12" s="1107">
        <f>PRODUCT(C12,E12)</f>
        <v>0</v>
      </c>
    </row>
    <row r="13" spans="1:9">
      <c r="A13" s="1111"/>
      <c r="B13" s="1109">
        <v>782.4</v>
      </c>
      <c r="C13" s="1109"/>
      <c r="D13" s="1107">
        <v>0</v>
      </c>
      <c r="E13" s="1107"/>
      <c r="F13" s="1107"/>
    </row>
    <row r="14" spans="1:9">
      <c r="A14" s="1111"/>
      <c r="B14" s="1109"/>
      <c r="C14" s="1109">
        <f>B15-B13</f>
        <v>28.9</v>
      </c>
      <c r="D14" s="1107"/>
      <c r="E14" s="1107">
        <f>SUM(0.5*D13,0.5*D15)</f>
        <v>0.3</v>
      </c>
      <c r="F14" s="1107">
        <f>PRODUCT(C14,E14)</f>
        <v>8.67</v>
      </c>
    </row>
    <row r="15" spans="1:9">
      <c r="A15" s="1111"/>
      <c r="B15" s="1109">
        <v>811.3</v>
      </c>
      <c r="C15" s="1109"/>
      <c r="D15" s="1107">
        <v>0.6</v>
      </c>
      <c r="E15" s="1107"/>
      <c r="F15" s="1107"/>
    </row>
    <row r="16" spans="1:9">
      <c r="A16" s="1111"/>
      <c r="B16" s="1109"/>
      <c r="C16" s="1109">
        <f>B17-B15</f>
        <v>18.7</v>
      </c>
      <c r="D16" s="1107"/>
      <c r="E16" s="1107">
        <f>SUM(0.5*D15,0.5*D17)</f>
        <v>0.63</v>
      </c>
      <c r="F16" s="1107">
        <f>PRODUCT(C16,E16)</f>
        <v>11.78</v>
      </c>
    </row>
    <row r="17" spans="1:6">
      <c r="A17" s="1111"/>
      <c r="B17" s="1109">
        <v>830</v>
      </c>
      <c r="C17" s="1109"/>
      <c r="D17" s="1107">
        <v>0.65</v>
      </c>
      <c r="E17" s="1107"/>
      <c r="F17" s="1107"/>
    </row>
    <row r="18" spans="1:6">
      <c r="A18" s="1111"/>
      <c r="B18" s="1109"/>
      <c r="C18" s="1109">
        <f>B19-B17</f>
        <v>31.6</v>
      </c>
      <c r="D18" s="1107"/>
      <c r="E18" s="1107">
        <f>SUM(0.5*D17,0.5*D19)</f>
        <v>0.78</v>
      </c>
      <c r="F18" s="1107">
        <f>PRODUCT(C18,E18)</f>
        <v>24.65</v>
      </c>
    </row>
    <row r="19" spans="1:6">
      <c r="A19" s="1111"/>
      <c r="B19" s="1109">
        <v>861.6</v>
      </c>
      <c r="C19" s="1109"/>
      <c r="D19" s="1107">
        <v>0.9</v>
      </c>
      <c r="E19" s="1107"/>
      <c r="F19" s="1107"/>
    </row>
    <row r="20" spans="1:6">
      <c r="A20" s="1111"/>
      <c r="B20" s="1109"/>
      <c r="C20" s="1109">
        <f>B21-B19</f>
        <v>18.399999999999999</v>
      </c>
      <c r="D20" s="1107"/>
      <c r="E20" s="1107">
        <f>SUM(0.5*D19,0.5*D21)</f>
        <v>0.95</v>
      </c>
      <c r="F20" s="1107">
        <f>PRODUCT(C20,E20)</f>
        <v>17.48</v>
      </c>
    </row>
    <row r="21" spans="1:6">
      <c r="A21" s="1111"/>
      <c r="B21" s="1109">
        <v>880</v>
      </c>
      <c r="C21" s="1109"/>
      <c r="D21" s="1107">
        <v>1</v>
      </c>
      <c r="E21" s="1107"/>
      <c r="F21" s="1107"/>
    </row>
    <row r="22" spans="1:6">
      <c r="A22" s="1111"/>
      <c r="B22" s="1109"/>
      <c r="C22" s="1109">
        <f>B23-B21</f>
        <v>23.7</v>
      </c>
      <c r="D22" s="1107"/>
      <c r="E22" s="1107">
        <f>SUM(0.5*D21,0.5*D23)</f>
        <v>0.5</v>
      </c>
      <c r="F22" s="1107">
        <f>PRODUCT(C22,E22)</f>
        <v>11.85</v>
      </c>
    </row>
    <row r="23" spans="1:6">
      <c r="A23" s="1111"/>
      <c r="B23" s="1109">
        <v>903.7</v>
      </c>
      <c r="C23" s="1109"/>
      <c r="D23" s="1107">
        <v>0</v>
      </c>
      <c r="E23" s="1107"/>
      <c r="F23" s="1107"/>
    </row>
    <row r="24" spans="1:6">
      <c r="A24" s="1111"/>
      <c r="B24" s="1109"/>
      <c r="C24" s="1109">
        <f>B25-B23</f>
        <v>34.299999999999997</v>
      </c>
      <c r="D24" s="1107"/>
      <c r="E24" s="1107">
        <f>SUM(0.5*D23,0.5*D25)</f>
        <v>0.65</v>
      </c>
      <c r="F24" s="1107">
        <f>PRODUCT(C24,E24)</f>
        <v>22.3</v>
      </c>
    </row>
    <row r="25" spans="1:6">
      <c r="A25" s="1111"/>
      <c r="B25" s="1109">
        <v>938</v>
      </c>
      <c r="C25" s="1109"/>
      <c r="D25" s="1107">
        <v>1.3</v>
      </c>
      <c r="E25" s="1107"/>
      <c r="F25" s="1107"/>
    </row>
    <row r="26" spans="1:6" ht="13.5" customHeight="1">
      <c r="A26" s="1111"/>
      <c r="B26" s="1109"/>
      <c r="C26" s="163" t="s">
        <v>34</v>
      </c>
      <c r="D26" s="1110"/>
      <c r="E26" s="205" t="s">
        <v>34</v>
      </c>
      <c r="F26" s="205" t="s">
        <v>34</v>
      </c>
    </row>
    <row r="27" spans="1:6" ht="13.5" customHeight="1">
      <c r="A27" s="212"/>
      <c r="B27" s="213"/>
      <c r="C27" s="213"/>
      <c r="D27" s="1112" t="s">
        <v>242</v>
      </c>
      <c r="E27" s="1112"/>
      <c r="F27" s="1113">
        <f>F12+F14+F16+F18+F20+F22+F24</f>
        <v>96.73</v>
      </c>
    </row>
    <row r="28" spans="1:6" ht="13.5" customHeight="1">
      <c r="A28" s="212"/>
      <c r="B28" s="213"/>
      <c r="C28" s="213"/>
      <c r="D28" s="1112"/>
      <c r="E28" s="1112"/>
      <c r="F28" s="1113"/>
    </row>
    <row r="29" spans="1:6" ht="13.5" customHeight="1">
      <c r="A29" s="212"/>
      <c r="B29" s="213"/>
      <c r="C29" s="213"/>
      <c r="D29" s="1112" t="s">
        <v>243</v>
      </c>
      <c r="E29" s="1112"/>
      <c r="F29" s="1113">
        <f>-(I50+I51+I52)</f>
        <v>-16.8</v>
      </c>
    </row>
    <row r="30" spans="1:6" ht="13.5" customHeight="1">
      <c r="A30" s="212"/>
      <c r="B30" s="213"/>
      <c r="C30" s="213"/>
      <c r="D30" s="1112"/>
      <c r="E30" s="1112"/>
      <c r="F30" s="1113"/>
    </row>
    <row r="31" spans="1:6" ht="13.5" customHeight="1">
      <c r="A31" s="212"/>
      <c r="B31" s="213"/>
      <c r="C31" s="213"/>
      <c r="D31" s="1112" t="s">
        <v>340</v>
      </c>
      <c r="E31" s="1112"/>
      <c r="F31" s="1113">
        <f>F27+F29</f>
        <v>79.930000000000007</v>
      </c>
    </row>
    <row r="32" spans="1:6" ht="13.5" customHeight="1">
      <c r="A32" s="212"/>
      <c r="B32" s="213"/>
      <c r="C32" s="213"/>
      <c r="D32" s="1112"/>
      <c r="E32" s="1112"/>
      <c r="F32" s="1113"/>
    </row>
    <row r="33" spans="1:8" ht="13.5" customHeight="1">
      <c r="A33" s="212"/>
      <c r="B33" s="213"/>
      <c r="C33" s="213"/>
      <c r="D33" s="214"/>
      <c r="E33" s="214"/>
      <c r="F33" s="214"/>
    </row>
    <row r="34" spans="1:8" ht="13.5" customHeight="1">
      <c r="A34" s="212"/>
      <c r="B34" s="213"/>
      <c r="C34" s="213"/>
      <c r="D34" s="214"/>
      <c r="E34" s="214"/>
      <c r="F34" s="214"/>
    </row>
    <row r="35" spans="1:8" ht="13.5" customHeight="1">
      <c r="A35" s="1129" t="s">
        <v>241</v>
      </c>
      <c r="B35" s="1130"/>
      <c r="C35" s="1130"/>
      <c r="D35" s="1130"/>
      <c r="E35" s="1130"/>
      <c r="F35" s="1131"/>
      <c r="H35" s="169">
        <f>F31+F52</f>
        <v>103.42</v>
      </c>
    </row>
    <row r="36" spans="1:8" ht="13.5" customHeight="1">
      <c r="A36" s="1123" t="s">
        <v>234</v>
      </c>
      <c r="B36" s="1123" t="s">
        <v>235</v>
      </c>
      <c r="C36" s="1123" t="s">
        <v>236</v>
      </c>
      <c r="D36" s="1125" t="s">
        <v>252</v>
      </c>
      <c r="E36" s="1125"/>
      <c r="F36" s="1125"/>
    </row>
    <row r="37" spans="1:8" ht="4.5" customHeight="1">
      <c r="A37" s="1124"/>
      <c r="B37" s="1124"/>
      <c r="C37" s="1123"/>
      <c r="D37" s="1123" t="s">
        <v>238</v>
      </c>
      <c r="E37" s="1123" t="s">
        <v>239</v>
      </c>
      <c r="F37" s="1123" t="s">
        <v>240</v>
      </c>
    </row>
    <row r="38" spans="1:8" ht="11.25" customHeight="1">
      <c r="A38" s="1124"/>
      <c r="B38" s="1124"/>
      <c r="C38" s="1123"/>
      <c r="D38" s="1123"/>
      <c r="E38" s="1123"/>
      <c r="F38" s="1123"/>
    </row>
    <row r="39" spans="1:8" ht="6.75" customHeight="1">
      <c r="A39" s="1124"/>
      <c r="B39" s="1124"/>
      <c r="C39" s="1123"/>
      <c r="D39" s="1123"/>
      <c r="E39" s="1123"/>
      <c r="F39" s="1123"/>
    </row>
    <row r="40" spans="1:8" ht="13.5" customHeight="1">
      <c r="A40" s="1111">
        <v>0</v>
      </c>
      <c r="B40" s="1132">
        <v>12</v>
      </c>
      <c r="C40" s="165" t="s">
        <v>34</v>
      </c>
      <c r="D40" s="1133">
        <v>1.3</v>
      </c>
      <c r="E40" s="166" t="s">
        <v>34</v>
      </c>
      <c r="F40" s="166" t="s">
        <v>34</v>
      </c>
    </row>
    <row r="41" spans="1:8" ht="13.5" customHeight="1">
      <c r="A41" s="1111"/>
      <c r="B41" s="1109"/>
      <c r="C41" s="1109">
        <f>B42-B40</f>
        <v>5.7</v>
      </c>
      <c r="D41" s="1110"/>
      <c r="E41" s="1107">
        <f>SUM(0.5*D40,0.5*D42)</f>
        <v>1.23</v>
      </c>
      <c r="F41" s="1107">
        <f>PRODUCT(C41,E41)</f>
        <v>7.01</v>
      </c>
    </row>
    <row r="42" spans="1:8" ht="13.5" customHeight="1">
      <c r="A42" s="1111"/>
      <c r="B42" s="1109">
        <v>17.7</v>
      </c>
      <c r="C42" s="1109"/>
      <c r="D42" s="1107">
        <v>1.1499999999999999</v>
      </c>
      <c r="E42" s="1107"/>
      <c r="F42" s="1107"/>
    </row>
    <row r="43" spans="1:8" ht="13.5" customHeight="1">
      <c r="A43" s="1111"/>
      <c r="B43" s="1109"/>
      <c r="C43" s="1114">
        <f>B44-B42</f>
        <v>17.3</v>
      </c>
      <c r="D43" s="1110"/>
      <c r="E43" s="1107">
        <f>SUM(0.5*D42,0.5*D44)</f>
        <v>1.08</v>
      </c>
      <c r="F43" s="1107">
        <f>PRODUCT(C43,E43)</f>
        <v>18.68</v>
      </c>
    </row>
    <row r="44" spans="1:8" ht="13.5" customHeight="1">
      <c r="A44" s="1111"/>
      <c r="B44" s="1109">
        <v>35</v>
      </c>
      <c r="C44" s="1115"/>
      <c r="D44" s="1107">
        <v>1</v>
      </c>
      <c r="E44" s="1107"/>
      <c r="F44" s="1107"/>
    </row>
    <row r="45" spans="1:8" ht="13.5" customHeight="1">
      <c r="A45" s="1111"/>
      <c r="B45" s="1109"/>
      <c r="C45" s="1114">
        <f>B46-B44</f>
        <v>17</v>
      </c>
      <c r="D45" s="1110"/>
      <c r="E45" s="1107">
        <f>SUM(0.5*D44,0.5*D46)</f>
        <v>0.5</v>
      </c>
      <c r="F45" s="1107">
        <f>PRODUCT(C45,E45)</f>
        <v>8.5</v>
      </c>
    </row>
    <row r="46" spans="1:8" ht="13.5" customHeight="1">
      <c r="A46" s="1111"/>
      <c r="B46" s="1109">
        <v>52</v>
      </c>
      <c r="C46" s="1115"/>
      <c r="D46" s="1107">
        <v>0</v>
      </c>
      <c r="E46" s="1107"/>
      <c r="F46" s="1107"/>
    </row>
    <row r="47" spans="1:8" ht="13.5" customHeight="1">
      <c r="A47" s="1111"/>
      <c r="B47" s="1109"/>
      <c r="C47" s="163" t="s">
        <v>34</v>
      </c>
      <c r="D47" s="1110"/>
      <c r="E47" s="205" t="s">
        <v>34</v>
      </c>
      <c r="F47" s="205" t="s">
        <v>34</v>
      </c>
    </row>
    <row r="48" spans="1:8" ht="14.25" customHeight="1">
      <c r="D48" s="1112" t="s">
        <v>242</v>
      </c>
      <c r="E48" s="1112"/>
      <c r="F48" s="1113">
        <f>F41+F43+F45</f>
        <v>34.19</v>
      </c>
    </row>
    <row r="49" spans="1:9" ht="13.5" customHeight="1" thickBot="1">
      <c r="D49" s="1112"/>
      <c r="E49" s="1112"/>
      <c r="F49" s="1113"/>
    </row>
    <row r="50" spans="1:9">
      <c r="D50" s="1112" t="s">
        <v>243</v>
      </c>
      <c r="E50" s="1112"/>
      <c r="F50" s="1113">
        <f>-(I53+I54)</f>
        <v>-10.7</v>
      </c>
      <c r="H50" s="172" t="s">
        <v>244</v>
      </c>
      <c r="I50" s="173">
        <v>1.9</v>
      </c>
    </row>
    <row r="51" spans="1:9">
      <c r="C51" s="168"/>
      <c r="D51" s="1112"/>
      <c r="E51" s="1112"/>
      <c r="F51" s="1113"/>
      <c r="H51" s="174" t="s">
        <v>245</v>
      </c>
      <c r="I51" s="175">
        <v>5.9</v>
      </c>
    </row>
    <row r="52" spans="1:9">
      <c r="D52" s="1112" t="s">
        <v>341</v>
      </c>
      <c r="E52" s="1112"/>
      <c r="F52" s="1113">
        <f>F48+F50</f>
        <v>23.49</v>
      </c>
      <c r="H52" s="174" t="s">
        <v>246</v>
      </c>
      <c r="I52" s="175">
        <v>9</v>
      </c>
    </row>
    <row r="53" spans="1:9">
      <c r="C53" s="159"/>
      <c r="D53" s="1112"/>
      <c r="E53" s="1112"/>
      <c r="F53" s="1113"/>
      <c r="G53" s="176"/>
      <c r="H53" s="174" t="s">
        <v>247</v>
      </c>
      <c r="I53" s="177">
        <v>6.5</v>
      </c>
    </row>
    <row r="54" spans="1:9" ht="13.5" thickBot="1">
      <c r="H54" s="178" t="s">
        <v>248</v>
      </c>
      <c r="I54" s="179">
        <v>4.2</v>
      </c>
    </row>
    <row r="55" spans="1:9" ht="12.75" customHeight="1">
      <c r="A55" s="1137" t="s">
        <v>253</v>
      </c>
      <c r="B55" s="1138"/>
      <c r="C55" s="1138"/>
      <c r="D55" s="1139"/>
      <c r="E55" s="1143">
        <f>('4.Zdjęcie humusu'!F31+'4.Zdjęcie humusu'!F51)*0.15</f>
        <v>55.54</v>
      </c>
      <c r="F55" s="1145" t="s">
        <v>254</v>
      </c>
      <c r="G55" s="1105">
        <f>'4.Zdjęcie humusu'!F51+'4.Zdjęcie humusu'!F31</f>
        <v>370.29</v>
      </c>
    </row>
    <row r="56" spans="1:9">
      <c r="A56" s="1140"/>
      <c r="B56" s="1141"/>
      <c r="C56" s="1141"/>
      <c r="D56" s="1142"/>
      <c r="E56" s="1144"/>
      <c r="F56" s="1146"/>
      <c r="G56" s="1148"/>
    </row>
    <row r="57" spans="1:9">
      <c r="A57" s="1140" t="s">
        <v>345</v>
      </c>
      <c r="B57" s="1141"/>
      <c r="C57" s="1141"/>
      <c r="D57" s="1142"/>
      <c r="E57" s="1144">
        <f>F31*0.1</f>
        <v>7.99</v>
      </c>
      <c r="F57" s="1147" t="s">
        <v>254</v>
      </c>
      <c r="G57" s="1105">
        <f>F31</f>
        <v>79.930000000000007</v>
      </c>
    </row>
    <row r="58" spans="1:9">
      <c r="A58" s="1140"/>
      <c r="B58" s="1141"/>
      <c r="C58" s="1141"/>
      <c r="D58" s="1142"/>
      <c r="E58" s="1144"/>
      <c r="F58" s="1147"/>
      <c r="G58" s="1148"/>
    </row>
    <row r="59" spans="1:9" ht="15" customHeight="1">
      <c r="A59" s="1140" t="s">
        <v>342</v>
      </c>
      <c r="B59" s="1141"/>
      <c r="C59" s="1141"/>
      <c r="D59" s="1142"/>
      <c r="E59" s="1144">
        <f>F52*0.1</f>
        <v>2.35</v>
      </c>
      <c r="F59" s="1146" t="s">
        <v>254</v>
      </c>
      <c r="G59" s="1105">
        <f>F52</f>
        <v>23.49</v>
      </c>
      <c r="H59" s="169">
        <f>E55-E57-E59</f>
        <v>45.2</v>
      </c>
    </row>
    <row r="60" spans="1:9">
      <c r="A60" s="1140"/>
      <c r="B60" s="1141"/>
      <c r="C60" s="1141"/>
      <c r="D60" s="1142"/>
      <c r="E60" s="1144"/>
      <c r="F60" s="1146"/>
      <c r="G60" s="1148"/>
      <c r="I60">
        <f>H59/0.15</f>
        <v>301.33333333333297</v>
      </c>
    </row>
    <row r="61" spans="1:9" ht="28.5" customHeight="1">
      <c r="A61" s="1134" t="s">
        <v>255</v>
      </c>
      <c r="B61" s="1135"/>
      <c r="C61" s="1135"/>
      <c r="D61" s="1136"/>
      <c r="E61" s="222">
        <f>'4.Zdjęcie humusu'!F31+'4.Zdjęcie humusu'!F51-F31-F52</f>
        <v>266.87</v>
      </c>
      <c r="F61" s="223" t="s">
        <v>249</v>
      </c>
      <c r="G61" s="169">
        <f>G55-G57-G59</f>
        <v>266.87</v>
      </c>
    </row>
    <row r="62" spans="1:9">
      <c r="E62" s="40"/>
      <c r="F62" s="171"/>
    </row>
  </sheetData>
  <mergeCells count="100">
    <mergeCell ref="G55:G56"/>
    <mergeCell ref="G57:G58"/>
    <mergeCell ref="G59:G60"/>
    <mergeCell ref="D27:E28"/>
    <mergeCell ref="F27:F28"/>
    <mergeCell ref="D29:E30"/>
    <mergeCell ref="F29:F30"/>
    <mergeCell ref="D31:E32"/>
    <mergeCell ref="F31:F32"/>
    <mergeCell ref="A35:F35"/>
    <mergeCell ref="A36:A39"/>
    <mergeCell ref="B36:B39"/>
    <mergeCell ref="C36:C39"/>
    <mergeCell ref="D36:F36"/>
    <mergeCell ref="D37:D39"/>
    <mergeCell ref="E37:E39"/>
    <mergeCell ref="E1:F2"/>
    <mergeCell ref="A3:F3"/>
    <mergeCell ref="A4:F5"/>
    <mergeCell ref="A6:F6"/>
    <mergeCell ref="A7:A10"/>
    <mergeCell ref="B7:B10"/>
    <mergeCell ref="C7:C10"/>
    <mergeCell ref="D7:F7"/>
    <mergeCell ref="D8:D10"/>
    <mergeCell ref="E8:E10"/>
    <mergeCell ref="F8:F10"/>
    <mergeCell ref="A11:A26"/>
    <mergeCell ref="B11:B12"/>
    <mergeCell ref="D11:D12"/>
    <mergeCell ref="C12:C13"/>
    <mergeCell ref="E12:E13"/>
    <mergeCell ref="B19:B20"/>
    <mergeCell ref="D19:D20"/>
    <mergeCell ref="C20:C21"/>
    <mergeCell ref="E20:E21"/>
    <mergeCell ref="F12:F13"/>
    <mergeCell ref="B13:B14"/>
    <mergeCell ref="D13:D14"/>
    <mergeCell ref="C14:C15"/>
    <mergeCell ref="E14:E15"/>
    <mergeCell ref="F14:F15"/>
    <mergeCell ref="B15:B16"/>
    <mergeCell ref="D15:D16"/>
    <mergeCell ref="C16:C17"/>
    <mergeCell ref="E16:E17"/>
    <mergeCell ref="F16:F17"/>
    <mergeCell ref="B17:B18"/>
    <mergeCell ref="D17:D18"/>
    <mergeCell ref="C18:C19"/>
    <mergeCell ref="E18:E19"/>
    <mergeCell ref="F18:F19"/>
    <mergeCell ref="F20:F21"/>
    <mergeCell ref="B21:B22"/>
    <mergeCell ref="D21:D22"/>
    <mergeCell ref="C22:C23"/>
    <mergeCell ref="E22:E23"/>
    <mergeCell ref="F22:F23"/>
    <mergeCell ref="B23:B24"/>
    <mergeCell ref="D23:D24"/>
    <mergeCell ref="C24:C25"/>
    <mergeCell ref="E24:E25"/>
    <mergeCell ref="F24:F25"/>
    <mergeCell ref="B25:B26"/>
    <mergeCell ref="D25:D26"/>
    <mergeCell ref="F37:F39"/>
    <mergeCell ref="A40:A47"/>
    <mergeCell ref="B40:B41"/>
    <mergeCell ref="D40:D41"/>
    <mergeCell ref="C41:C42"/>
    <mergeCell ref="E41:E42"/>
    <mergeCell ref="F41:F42"/>
    <mergeCell ref="B42:B43"/>
    <mergeCell ref="D42:D43"/>
    <mergeCell ref="C43:C44"/>
    <mergeCell ref="E43:E44"/>
    <mergeCell ref="F43:F44"/>
    <mergeCell ref="B44:B45"/>
    <mergeCell ref="D44:D45"/>
    <mergeCell ref="C45:C46"/>
    <mergeCell ref="E45:E46"/>
    <mergeCell ref="F45:F46"/>
    <mergeCell ref="B46:B47"/>
    <mergeCell ref="D46:D47"/>
    <mergeCell ref="D48:E49"/>
    <mergeCell ref="F48:F49"/>
    <mergeCell ref="D50:E51"/>
    <mergeCell ref="F50:F51"/>
    <mergeCell ref="D52:E53"/>
    <mergeCell ref="F52:F53"/>
    <mergeCell ref="A61:D61"/>
    <mergeCell ref="A55:D56"/>
    <mergeCell ref="E55:E56"/>
    <mergeCell ref="F55:F56"/>
    <mergeCell ref="A59:D60"/>
    <mergeCell ref="E59:E60"/>
    <mergeCell ref="F59:F60"/>
    <mergeCell ref="A57:D58"/>
    <mergeCell ref="E57:E58"/>
    <mergeCell ref="F57:F58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1" orientation="portrait" horizontalDpi="4294967293" verticalDpi="4294967293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O75"/>
  <sheetViews>
    <sheetView view="pageBreakPreview" topLeftCell="A61" zoomScale="85" zoomScaleNormal="100" zoomScaleSheetLayoutView="85" workbookViewId="0">
      <selection activeCell="V104" sqref="V104"/>
    </sheetView>
  </sheetViews>
  <sheetFormatPr defaultRowHeight="12.75"/>
  <cols>
    <col min="1" max="1" width="7.85546875" customWidth="1"/>
    <col min="2" max="2" width="9.42578125" customWidth="1"/>
    <col min="8" max="8" width="9.85546875" bestFit="1" customWidth="1"/>
    <col min="9" max="9" width="9.140625" customWidth="1"/>
    <col min="10" max="10" width="8.42578125" customWidth="1"/>
    <col min="11" max="12" width="8.28515625" customWidth="1"/>
  </cols>
  <sheetData>
    <row r="1" spans="1:14" ht="17.25" customHeight="1">
      <c r="M1" s="1116" t="s">
        <v>324</v>
      </c>
      <c r="N1" s="1116"/>
    </row>
    <row r="2" spans="1:14" ht="17.25" customHeight="1">
      <c r="L2" s="180"/>
      <c r="M2" s="1117"/>
      <c r="N2" s="1117"/>
    </row>
    <row r="3" spans="1:14" ht="30.75" customHeight="1">
      <c r="A3" s="1118" t="s">
        <v>256</v>
      </c>
      <c r="B3" s="1118"/>
      <c r="C3" s="1118"/>
      <c r="D3" s="1118"/>
      <c r="E3" s="1118"/>
      <c r="F3" s="1118"/>
      <c r="G3" s="1118"/>
      <c r="H3" s="1118"/>
      <c r="I3" s="1118"/>
      <c r="J3" s="1118"/>
      <c r="K3" s="1118"/>
      <c r="L3" s="1118"/>
      <c r="M3" s="1118"/>
      <c r="N3" s="1118"/>
    </row>
    <row r="4" spans="1:14" ht="23.25" customHeight="1">
      <c r="A4" s="1182" t="str">
        <f>'4.Zdjęcie humusu'!A4:F5</f>
        <v>PRZEBUDOWA DROGI WOJEWÓDZKIEJ NR 987 KOLBUSZOWA – SĘDZISZÓW MAŁOPOLSKI POLEGAJĄCA NA BUDOWIE CHODNIKA DLA PIESZYCH W KM 13+788 ÷ 13+940 STRONA LEWA W MIEJSCOWOŚCI CZARNA SĘDZISZOWSKA</v>
      </c>
      <c r="B4" s="1182"/>
      <c r="C4" s="1182"/>
      <c r="D4" s="1182"/>
      <c r="E4" s="1182"/>
      <c r="F4" s="1182"/>
      <c r="G4" s="1182"/>
      <c r="H4" s="1182"/>
      <c r="I4" s="1182"/>
      <c r="J4" s="1182"/>
      <c r="K4" s="1182"/>
      <c r="L4" s="1182"/>
      <c r="M4" s="1182"/>
      <c r="N4" s="1182"/>
    </row>
    <row r="5" spans="1:14" ht="24.75" customHeight="1">
      <c r="A5" s="1182"/>
      <c r="B5" s="1182"/>
      <c r="C5" s="1182"/>
      <c r="D5" s="1182"/>
      <c r="E5" s="1182"/>
      <c r="F5" s="1182"/>
      <c r="G5" s="1182"/>
      <c r="H5" s="1182"/>
      <c r="I5" s="1182"/>
      <c r="J5" s="1182"/>
      <c r="K5" s="1182"/>
      <c r="L5" s="1182"/>
      <c r="M5" s="1182"/>
      <c r="N5" s="1182"/>
    </row>
    <row r="6" spans="1:14" ht="24.75" customHeight="1">
      <c r="A6" s="206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7"/>
    </row>
    <row r="7" spans="1:14" ht="21.75" customHeight="1">
      <c r="A7" s="1178" t="s">
        <v>233</v>
      </c>
      <c r="B7" s="1180"/>
      <c r="C7" s="1180"/>
      <c r="D7" s="1180"/>
      <c r="E7" s="1180"/>
      <c r="F7" s="1180"/>
      <c r="G7" s="1180"/>
      <c r="H7" s="1180"/>
      <c r="I7" s="1180"/>
      <c r="J7" s="1180"/>
      <c r="K7" s="1180"/>
      <c r="L7" s="1180"/>
      <c r="M7" s="1180"/>
      <c r="N7" s="1179"/>
    </row>
    <row r="8" spans="1:14">
      <c r="A8" s="1123" t="s">
        <v>234</v>
      </c>
      <c r="B8" s="1123" t="s">
        <v>235</v>
      </c>
      <c r="C8" s="1123" t="s">
        <v>257</v>
      </c>
      <c r="D8" s="1124"/>
      <c r="E8" s="1123" t="s">
        <v>258</v>
      </c>
      <c r="F8" s="1124"/>
      <c r="G8" s="1123" t="s">
        <v>259</v>
      </c>
      <c r="H8" s="1123" t="s">
        <v>260</v>
      </c>
      <c r="I8" s="1124"/>
      <c r="J8" s="1123" t="s">
        <v>261</v>
      </c>
      <c r="K8" s="1123" t="s">
        <v>262</v>
      </c>
      <c r="L8" s="1124"/>
      <c r="M8" s="1123" t="s">
        <v>263</v>
      </c>
      <c r="N8" s="1124"/>
    </row>
    <row r="9" spans="1:14">
      <c r="A9" s="1124"/>
      <c r="B9" s="1124"/>
      <c r="C9" s="1124"/>
      <c r="D9" s="1124"/>
      <c r="E9" s="1124"/>
      <c r="F9" s="1124"/>
      <c r="G9" s="1124"/>
      <c r="H9" s="1124"/>
      <c r="I9" s="1124"/>
      <c r="J9" s="1124"/>
      <c r="K9" s="1124"/>
      <c r="L9" s="1124"/>
      <c r="M9" s="1124"/>
      <c r="N9" s="1124"/>
    </row>
    <row r="10" spans="1:14">
      <c r="A10" s="1124"/>
      <c r="B10" s="1124"/>
      <c r="C10" s="162" t="s">
        <v>264</v>
      </c>
      <c r="D10" s="162" t="s">
        <v>265</v>
      </c>
      <c r="E10" s="162" t="s">
        <v>264</v>
      </c>
      <c r="F10" s="162" t="s">
        <v>265</v>
      </c>
      <c r="G10" s="1124"/>
      <c r="H10" s="162" t="s">
        <v>264</v>
      </c>
      <c r="I10" s="162" t="s">
        <v>265</v>
      </c>
      <c r="J10" s="1124"/>
      <c r="K10" s="162" t="s">
        <v>264</v>
      </c>
      <c r="L10" s="162" t="s">
        <v>265</v>
      </c>
      <c r="M10" s="181" t="s">
        <v>266</v>
      </c>
      <c r="N10" s="181" t="s">
        <v>267</v>
      </c>
    </row>
    <row r="11" spans="1:14">
      <c r="A11" s="1124"/>
      <c r="B11" s="1124"/>
      <c r="C11" s="1123" t="s">
        <v>268</v>
      </c>
      <c r="D11" s="1123"/>
      <c r="E11" s="1123" t="s">
        <v>268</v>
      </c>
      <c r="F11" s="1123"/>
      <c r="G11" s="1124"/>
      <c r="H11" s="1123" t="s">
        <v>269</v>
      </c>
      <c r="I11" s="1123"/>
      <c r="J11" s="1124"/>
      <c r="K11" s="1123" t="s">
        <v>269</v>
      </c>
      <c r="L11" s="1123"/>
      <c r="M11" s="1123" t="s">
        <v>269</v>
      </c>
      <c r="N11" s="1123"/>
    </row>
    <row r="12" spans="1:14">
      <c r="A12" s="1159">
        <v>13</v>
      </c>
      <c r="B12" s="1109">
        <v>780</v>
      </c>
      <c r="C12" s="1109">
        <v>0</v>
      </c>
      <c r="D12" s="1109">
        <v>0</v>
      </c>
      <c r="E12" s="163" t="s">
        <v>34</v>
      </c>
      <c r="F12" s="163" t="s">
        <v>34</v>
      </c>
      <c r="G12" s="163" t="s">
        <v>34</v>
      </c>
      <c r="H12" s="182" t="s">
        <v>270</v>
      </c>
      <c r="I12" s="182" t="s">
        <v>271</v>
      </c>
      <c r="J12" s="182" t="s">
        <v>272</v>
      </c>
      <c r="K12" s="182" t="s">
        <v>273</v>
      </c>
      <c r="L12" s="182" t="s">
        <v>274</v>
      </c>
      <c r="M12" s="182" t="s">
        <v>275</v>
      </c>
      <c r="N12" s="182" t="s">
        <v>276</v>
      </c>
    </row>
    <row r="13" spans="1:14">
      <c r="A13" s="1160"/>
      <c r="B13" s="1109"/>
      <c r="C13" s="1109"/>
      <c r="D13" s="1109"/>
      <c r="E13" s="1153">
        <f>SUM(0.5*C12,0.5*C14)</f>
        <v>0.83499999999999996</v>
      </c>
      <c r="F13" s="1109">
        <f>SUM(0.5*D12,0.5*D14)</f>
        <v>0.23</v>
      </c>
      <c r="G13" s="1109">
        <f>SUM(B14,-B12)</f>
        <v>2.4</v>
      </c>
      <c r="H13" s="1109">
        <f>PRODUCT(E13,G13)</f>
        <v>2</v>
      </c>
      <c r="I13" s="1109">
        <f>PRODUCT(F13,G13)</f>
        <v>0.55000000000000004</v>
      </c>
      <c r="J13" s="1109">
        <f>MIN(H13:I14)</f>
        <v>0.55000000000000004</v>
      </c>
      <c r="K13" s="1109">
        <f>IF(I13&lt;H13,(H13-I13),"")</f>
        <v>1.45</v>
      </c>
      <c r="L13" s="1109" t="str">
        <f>IF(H13&lt;I13,(I13-H13),"")</f>
        <v/>
      </c>
      <c r="M13" s="1109">
        <f>K13</f>
        <v>1.45</v>
      </c>
      <c r="N13" s="1109" t="str">
        <f>L13</f>
        <v/>
      </c>
    </row>
    <row r="14" spans="1:14">
      <c r="A14" s="1160"/>
      <c r="B14" s="1109">
        <v>782.4</v>
      </c>
      <c r="C14" s="1109">
        <v>1.67</v>
      </c>
      <c r="D14" s="1109">
        <v>0.46</v>
      </c>
      <c r="E14" s="1153"/>
      <c r="F14" s="1109"/>
      <c r="G14" s="1109"/>
      <c r="H14" s="1109"/>
      <c r="I14" s="1109"/>
      <c r="J14" s="1109"/>
      <c r="K14" s="1109"/>
      <c r="L14" s="1109"/>
      <c r="M14" s="1109"/>
      <c r="N14" s="1109"/>
    </row>
    <row r="15" spans="1:14">
      <c r="A15" s="1160"/>
      <c r="B15" s="1109"/>
      <c r="C15" s="1109"/>
      <c r="D15" s="1109"/>
      <c r="E15" s="1153">
        <f>SUM(0.5*C14,0.5*C16)</f>
        <v>1.0649999999999999</v>
      </c>
      <c r="F15" s="1109">
        <f>SUM(0.5*D14,0.5*D16)</f>
        <v>0.61</v>
      </c>
      <c r="G15" s="1109">
        <f>SUM(B16,-B14)</f>
        <v>28.9</v>
      </c>
      <c r="H15" s="1109">
        <f>PRODUCT(E15,G15)</f>
        <v>30.78</v>
      </c>
      <c r="I15" s="1109">
        <f>PRODUCT(F15,G15)</f>
        <v>17.63</v>
      </c>
      <c r="J15" s="1109">
        <f>MIN(H15:I16)</f>
        <v>17.63</v>
      </c>
      <c r="K15" s="1109">
        <f>IF(I15&lt;H15,(H15-I15),"")</f>
        <v>13.15</v>
      </c>
      <c r="L15" s="1109" t="str">
        <f>IF(H15&lt;I15,(I15-H15),"")</f>
        <v/>
      </c>
      <c r="M15" s="1109">
        <f>K15+M13</f>
        <v>14.6</v>
      </c>
      <c r="N15" s="1109" t="str">
        <f>L15</f>
        <v/>
      </c>
    </row>
    <row r="16" spans="1:14">
      <c r="A16" s="1160"/>
      <c r="B16" s="1109">
        <v>811.3</v>
      </c>
      <c r="C16" s="1109">
        <v>0.46</v>
      </c>
      <c r="D16" s="1109">
        <v>0.76</v>
      </c>
      <c r="E16" s="1153"/>
      <c r="F16" s="1109"/>
      <c r="G16" s="1109"/>
      <c r="H16" s="1109"/>
      <c r="I16" s="1109"/>
      <c r="J16" s="1109"/>
      <c r="K16" s="1109"/>
      <c r="L16" s="1109"/>
      <c r="M16" s="1109"/>
      <c r="N16" s="1109"/>
    </row>
    <row r="17" spans="1:41">
      <c r="A17" s="1160"/>
      <c r="B17" s="1109"/>
      <c r="C17" s="1109"/>
      <c r="D17" s="1109"/>
      <c r="E17" s="1109">
        <f>SUM(0.5*C16,0.5*C18)</f>
        <v>0.56999999999999995</v>
      </c>
      <c r="F17" s="1109">
        <f>SUM(0.5*D16,0.5*D18)</f>
        <v>0.81</v>
      </c>
      <c r="G17" s="1109">
        <f>SUM(B18,-B16)</f>
        <v>18.7</v>
      </c>
      <c r="H17" s="1109">
        <f>PRODUCT(E17,G17)</f>
        <v>10.66</v>
      </c>
      <c r="I17" s="1109">
        <f>PRODUCT(F17,G17)</f>
        <v>15.15</v>
      </c>
      <c r="J17" s="1109">
        <f>MIN(H17:I18)</f>
        <v>10.66</v>
      </c>
      <c r="K17" s="1109" t="str">
        <f>IF(I17&lt;H17,(H17-I17),"")</f>
        <v/>
      </c>
      <c r="L17" s="1109">
        <f>IF(H17&lt;I17,(I17-H17),"")</f>
        <v>4.49</v>
      </c>
      <c r="M17" s="1109">
        <f>M15-L17</f>
        <v>10.11</v>
      </c>
      <c r="N17" s="1109"/>
    </row>
    <row r="18" spans="1:41">
      <c r="A18" s="1160"/>
      <c r="B18" s="1109">
        <v>830</v>
      </c>
      <c r="C18" s="1109">
        <v>0.68</v>
      </c>
      <c r="D18" s="1109">
        <v>0.85</v>
      </c>
      <c r="E18" s="1109"/>
      <c r="F18" s="1109"/>
      <c r="G18" s="1109"/>
      <c r="H18" s="1109"/>
      <c r="I18" s="1109"/>
      <c r="J18" s="1109"/>
      <c r="K18" s="1109"/>
      <c r="L18" s="1109"/>
      <c r="M18" s="1109"/>
      <c r="N18" s="1109"/>
    </row>
    <row r="19" spans="1:41">
      <c r="A19" s="1160"/>
      <c r="B19" s="1109"/>
      <c r="C19" s="1109"/>
      <c r="D19" s="1109"/>
      <c r="E19" s="1109">
        <f>SUM(0.5*C18,0.5*C20)</f>
        <v>0.84</v>
      </c>
      <c r="F19" s="1109">
        <f>SUM(0.5*D18,0.5*D20)</f>
        <v>1.1399999999999999</v>
      </c>
      <c r="G19" s="1109">
        <f>SUM(B20,-B18)</f>
        <v>31.6</v>
      </c>
      <c r="H19" s="1109">
        <f>PRODUCT(E19,G19)</f>
        <v>26.54</v>
      </c>
      <c r="I19" s="1109">
        <f>PRODUCT(F19,G19)</f>
        <v>36.020000000000003</v>
      </c>
      <c r="J19" s="1109">
        <f>MIN(H19:I20)</f>
        <v>26.54</v>
      </c>
      <c r="K19" s="1109" t="str">
        <f>IF(I19&lt;H19,(H19-I19),"")</f>
        <v/>
      </c>
      <c r="L19" s="1109">
        <f>IF(H19&lt;I19,(I19-H19),"")</f>
        <v>9.48</v>
      </c>
      <c r="M19" s="1109"/>
      <c r="N19" s="1064">
        <f>M17-L19</f>
        <v>0.63</v>
      </c>
    </row>
    <row r="20" spans="1:41">
      <c r="A20" s="1160"/>
      <c r="B20" s="1109">
        <v>861.6</v>
      </c>
      <c r="C20" s="1109">
        <v>1</v>
      </c>
      <c r="D20" s="1109">
        <v>1.43</v>
      </c>
      <c r="E20" s="1109"/>
      <c r="F20" s="1109"/>
      <c r="G20" s="1109"/>
      <c r="H20" s="1109"/>
      <c r="I20" s="1109"/>
      <c r="J20" s="1109"/>
      <c r="K20" s="1109"/>
      <c r="L20" s="1109"/>
      <c r="M20" s="1109"/>
      <c r="N20" s="1181"/>
    </row>
    <row r="21" spans="1:41">
      <c r="A21" s="1160"/>
      <c r="B21" s="1109"/>
      <c r="C21" s="1109"/>
      <c r="D21" s="1109"/>
      <c r="E21" s="1109">
        <f>SUM(0.5*C20,0.5*C22)</f>
        <v>1.03</v>
      </c>
      <c r="F21" s="1109">
        <f>SUM(0.5*D20,0.5*D22)</f>
        <v>1.32</v>
      </c>
      <c r="G21" s="1109">
        <f>SUM(B22,-B20)</f>
        <v>18.399999999999999</v>
      </c>
      <c r="H21" s="1109">
        <f>PRODUCT(E21,G21)</f>
        <v>18.95</v>
      </c>
      <c r="I21" s="1109">
        <f>PRODUCT(F21,G21)</f>
        <v>24.29</v>
      </c>
      <c r="J21" s="1109">
        <f>MIN(H21:I22)</f>
        <v>18.95</v>
      </c>
      <c r="K21" s="1109" t="str">
        <f>IF(I21&lt;H21,(H21-I21),"")</f>
        <v/>
      </c>
      <c r="L21" s="1109">
        <f>IF(H21&lt;I21,(I21-H21),"")</f>
        <v>5.34</v>
      </c>
      <c r="M21" s="1109"/>
      <c r="N21" s="1109">
        <f>N19-L21</f>
        <v>-4.71</v>
      </c>
    </row>
    <row r="22" spans="1:41">
      <c r="A22" s="1160"/>
      <c r="B22" s="1109">
        <v>880</v>
      </c>
      <c r="C22" s="1109">
        <v>1.05</v>
      </c>
      <c r="D22" s="1109">
        <v>1.2</v>
      </c>
      <c r="E22" s="1109"/>
      <c r="F22" s="1109"/>
      <c r="G22" s="1109"/>
      <c r="H22" s="1109"/>
      <c r="I22" s="1109"/>
      <c r="J22" s="1109"/>
      <c r="K22" s="1109"/>
      <c r="L22" s="1109"/>
      <c r="M22" s="1109"/>
      <c r="N22" s="1109"/>
    </row>
    <row r="23" spans="1:41">
      <c r="A23" s="1160"/>
      <c r="B23" s="1109"/>
      <c r="C23" s="1109"/>
      <c r="D23" s="1109"/>
      <c r="E23" s="1109">
        <f>SUM(0.5*C22,0.5*C24)</f>
        <v>0.88</v>
      </c>
      <c r="F23" s="1109">
        <f>SUM(0.5*D22,0.5*D24)</f>
        <v>0.85</v>
      </c>
      <c r="G23" s="1109">
        <f>SUM(B24,-B22)</f>
        <v>23.7</v>
      </c>
      <c r="H23" s="1109">
        <f>PRODUCT(E23,G23)</f>
        <v>20.86</v>
      </c>
      <c r="I23" s="1109">
        <f>PRODUCT(F23,G23)</f>
        <v>20.149999999999999</v>
      </c>
      <c r="J23" s="1109">
        <f>MIN(H23:I24)</f>
        <v>20.149999999999999</v>
      </c>
      <c r="K23" s="1109">
        <f>IF(I23&lt;H23,(H23-I23),"")</f>
        <v>0.71</v>
      </c>
      <c r="L23" s="1109" t="str">
        <f>IF(H23&lt;I23,(I23-H23),"")</f>
        <v/>
      </c>
      <c r="M23" s="1109"/>
      <c r="N23" s="1109">
        <f>N21+K23</f>
        <v>-4</v>
      </c>
    </row>
    <row r="24" spans="1:41">
      <c r="A24" s="1160"/>
      <c r="B24" s="1109">
        <v>903.7</v>
      </c>
      <c r="C24" s="1109">
        <v>0.7</v>
      </c>
      <c r="D24" s="1109">
        <v>0.5</v>
      </c>
      <c r="E24" s="1109"/>
      <c r="F24" s="1109"/>
      <c r="G24" s="1109"/>
      <c r="H24" s="1109"/>
      <c r="I24" s="1109"/>
      <c r="J24" s="1109"/>
      <c r="K24" s="1109"/>
      <c r="L24" s="1109"/>
      <c r="M24" s="1109"/>
      <c r="N24" s="1109"/>
    </row>
    <row r="25" spans="1:41">
      <c r="A25" s="1160"/>
      <c r="B25" s="1109"/>
      <c r="C25" s="1109"/>
      <c r="D25" s="1109"/>
      <c r="E25" s="1109">
        <f>SUM(0.5*C24,0.5*C26)</f>
        <v>0.9</v>
      </c>
      <c r="F25" s="1109">
        <f>SUM(0.5*D24,0.5*D26)</f>
        <v>0.75</v>
      </c>
      <c r="G25" s="1109">
        <f>SUM(B26,-B24)</f>
        <v>34.299999999999997</v>
      </c>
      <c r="H25" s="1109">
        <f>PRODUCT(E25,G25)</f>
        <v>30.87</v>
      </c>
      <c r="I25" s="1109">
        <f>PRODUCT(F25,G25)</f>
        <v>25.73</v>
      </c>
      <c r="J25" s="1109">
        <f>MIN(H25:I26)</f>
        <v>25.73</v>
      </c>
      <c r="K25" s="1109">
        <f>IF(I25&lt;H25,(H25-I25),"")</f>
        <v>5.14</v>
      </c>
      <c r="L25" s="1109" t="str">
        <f>IF(H25&lt;I25,(I25-H25),"")</f>
        <v/>
      </c>
      <c r="M25" s="1109"/>
      <c r="N25" s="1109">
        <f>N23+K25</f>
        <v>1.1399999999999999</v>
      </c>
    </row>
    <row r="26" spans="1:41" ht="3.75" customHeight="1">
      <c r="A26" s="1160"/>
      <c r="B26" s="1109">
        <v>938</v>
      </c>
      <c r="C26" s="1109">
        <v>1.1000000000000001</v>
      </c>
      <c r="D26" s="1109">
        <v>1</v>
      </c>
      <c r="E26" s="1109"/>
      <c r="F26" s="1109"/>
      <c r="G26" s="1109"/>
      <c r="H26" s="1109"/>
      <c r="I26" s="1109"/>
      <c r="J26" s="1109"/>
      <c r="K26" s="1109"/>
      <c r="L26" s="1109"/>
      <c r="M26" s="1109"/>
      <c r="N26" s="1109"/>
    </row>
    <row r="27" spans="1:41" ht="18.75" customHeight="1">
      <c r="A27" s="1160"/>
      <c r="B27" s="1109"/>
      <c r="C27" s="1109"/>
      <c r="D27" s="1109"/>
      <c r="E27" s="167" t="s">
        <v>34</v>
      </c>
      <c r="F27" s="167" t="s">
        <v>34</v>
      </c>
      <c r="G27" s="167" t="s">
        <v>34</v>
      </c>
      <c r="H27" s="167" t="s">
        <v>34</v>
      </c>
      <c r="I27" s="167" t="s">
        <v>34</v>
      </c>
      <c r="J27" s="167" t="s">
        <v>34</v>
      </c>
      <c r="K27" s="167" t="s">
        <v>34</v>
      </c>
      <c r="L27" s="167" t="s">
        <v>34</v>
      </c>
      <c r="M27" s="184"/>
      <c r="N27" s="167">
        <f>N25</f>
        <v>1.1399999999999999</v>
      </c>
    </row>
    <row r="28" spans="1:41" ht="18.75" customHeight="1">
      <c r="A28" s="1160"/>
      <c r="B28" s="1109" t="s">
        <v>34</v>
      </c>
      <c r="C28" s="1109" t="s">
        <v>34</v>
      </c>
      <c r="D28" s="1109" t="s">
        <v>34</v>
      </c>
      <c r="E28" s="1149" t="s">
        <v>277</v>
      </c>
      <c r="F28" s="1149"/>
      <c r="G28" s="1149"/>
      <c r="H28" s="1149">
        <f>SUM(H13:H26)</f>
        <v>140.66</v>
      </c>
      <c r="I28" s="1149">
        <f>SUM(I13:I26)</f>
        <v>139.52000000000001</v>
      </c>
      <c r="J28" s="1149">
        <f>SUM(J13:J26)</f>
        <v>120.21</v>
      </c>
      <c r="K28" s="1149">
        <f>SUM(K13:K26)</f>
        <v>20.45</v>
      </c>
      <c r="L28" s="1149">
        <f>SUM(L15:L22)</f>
        <v>19.309999999999999</v>
      </c>
      <c r="M28" s="1149"/>
      <c r="N28" s="1149">
        <f>N27</f>
        <v>1.1399999999999999</v>
      </c>
    </row>
    <row r="29" spans="1:41" ht="18.75" customHeight="1">
      <c r="A29" s="1161"/>
      <c r="B29" s="1109"/>
      <c r="C29" s="1109"/>
      <c r="D29" s="1109"/>
      <c r="E29" s="1149"/>
      <c r="F29" s="1149"/>
      <c r="G29" s="1149"/>
      <c r="H29" s="1149"/>
      <c r="I29" s="1149"/>
      <c r="J29" s="1149"/>
      <c r="K29" s="1149"/>
      <c r="L29" s="1149"/>
      <c r="M29" s="1149"/>
      <c r="N29" s="1158"/>
    </row>
    <row r="30" spans="1:41" s="218" customFormat="1" ht="18.75" customHeight="1">
      <c r="A30" s="209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7"/>
      <c r="N30" s="211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ht="18.75" customHeight="1">
      <c r="A31" s="1178" t="s">
        <v>241</v>
      </c>
      <c r="B31" s="1180"/>
      <c r="C31" s="1180"/>
      <c r="D31" s="1180"/>
      <c r="E31" s="1180"/>
      <c r="F31" s="1180"/>
      <c r="G31" s="1180"/>
      <c r="H31" s="1180"/>
      <c r="I31" s="1180"/>
      <c r="J31" s="1180"/>
      <c r="K31" s="1180"/>
      <c r="L31" s="1180"/>
      <c r="M31" s="1180"/>
      <c r="N31" s="1179"/>
    </row>
    <row r="32" spans="1:41" ht="12.75" customHeight="1">
      <c r="A32" s="1123" t="s">
        <v>234</v>
      </c>
      <c r="B32" s="1123" t="s">
        <v>235</v>
      </c>
      <c r="C32" s="1123" t="s">
        <v>257</v>
      </c>
      <c r="D32" s="1124"/>
      <c r="E32" s="1123" t="s">
        <v>258</v>
      </c>
      <c r="F32" s="1124"/>
      <c r="G32" s="1123" t="s">
        <v>259</v>
      </c>
      <c r="H32" s="1123" t="s">
        <v>260</v>
      </c>
      <c r="I32" s="1124"/>
      <c r="J32" s="1123" t="s">
        <v>261</v>
      </c>
      <c r="K32" s="1123" t="s">
        <v>262</v>
      </c>
      <c r="L32" s="1124"/>
      <c r="M32" s="1123" t="s">
        <v>263</v>
      </c>
      <c r="N32" s="1124"/>
    </row>
    <row r="33" spans="1:16">
      <c r="A33" s="1124"/>
      <c r="B33" s="1124"/>
      <c r="C33" s="1124"/>
      <c r="D33" s="1124"/>
      <c r="E33" s="1124"/>
      <c r="F33" s="1124"/>
      <c r="G33" s="1124"/>
      <c r="H33" s="1124"/>
      <c r="I33" s="1124"/>
      <c r="J33" s="1124"/>
      <c r="K33" s="1124"/>
      <c r="L33" s="1124"/>
      <c r="M33" s="1124"/>
      <c r="N33" s="1124"/>
    </row>
    <row r="34" spans="1:16">
      <c r="A34" s="1124"/>
      <c r="B34" s="1124"/>
      <c r="C34" s="162" t="s">
        <v>264</v>
      </c>
      <c r="D34" s="162" t="s">
        <v>265</v>
      </c>
      <c r="E34" s="162" t="s">
        <v>264</v>
      </c>
      <c r="F34" s="162" t="s">
        <v>265</v>
      </c>
      <c r="G34" s="1124"/>
      <c r="H34" s="162" t="s">
        <v>264</v>
      </c>
      <c r="I34" s="162" t="s">
        <v>265</v>
      </c>
      <c r="J34" s="1124"/>
      <c r="K34" s="162" t="s">
        <v>264</v>
      </c>
      <c r="L34" s="162" t="s">
        <v>265</v>
      </c>
      <c r="M34" s="181" t="s">
        <v>266</v>
      </c>
      <c r="N34" s="181" t="s">
        <v>267</v>
      </c>
    </row>
    <row r="35" spans="1:16">
      <c r="A35" s="1124"/>
      <c r="B35" s="1124"/>
      <c r="C35" s="1123" t="s">
        <v>268</v>
      </c>
      <c r="D35" s="1123"/>
      <c r="E35" s="1123" t="s">
        <v>268</v>
      </c>
      <c r="F35" s="1123"/>
      <c r="G35" s="1124"/>
      <c r="H35" s="1123" t="s">
        <v>269</v>
      </c>
      <c r="I35" s="1123"/>
      <c r="J35" s="1124"/>
      <c r="K35" s="1123" t="s">
        <v>269</v>
      </c>
      <c r="L35" s="1123"/>
      <c r="M35" s="1123" t="s">
        <v>269</v>
      </c>
      <c r="N35" s="1123"/>
    </row>
    <row r="36" spans="1:16">
      <c r="A36" s="1159">
        <v>0</v>
      </c>
      <c r="B36" s="1132">
        <v>12</v>
      </c>
      <c r="C36" s="1109">
        <v>1.1000000000000001</v>
      </c>
      <c r="D36" s="1109">
        <v>1</v>
      </c>
      <c r="E36" s="185"/>
      <c r="F36" s="185"/>
      <c r="G36" s="185"/>
      <c r="H36" s="185"/>
      <c r="I36" s="185"/>
      <c r="J36" s="185"/>
      <c r="K36" s="185"/>
      <c r="L36" s="185"/>
      <c r="M36" s="185"/>
      <c r="N36" s="185"/>
    </row>
    <row r="37" spans="1:16">
      <c r="A37" s="1160"/>
      <c r="B37" s="1109"/>
      <c r="C37" s="1109"/>
      <c r="D37" s="1109"/>
      <c r="E37" s="1109">
        <f>SUM(0.5*C36,0.5*C38)</f>
        <v>0.91</v>
      </c>
      <c r="F37" s="1109">
        <f>SUM(0.5*D36,0.5*D38)</f>
        <v>0.9</v>
      </c>
      <c r="G37" s="1109">
        <f>SUM(B38,-B36)</f>
        <v>5.7</v>
      </c>
      <c r="H37" s="1109">
        <f>PRODUCT(E37,G37)</f>
        <v>5.19</v>
      </c>
      <c r="I37" s="1109">
        <f>PRODUCT(F37,G37)</f>
        <v>5.13</v>
      </c>
      <c r="J37" s="1109">
        <f>MIN(H37:I38)</f>
        <v>5.13</v>
      </c>
      <c r="K37" s="1109">
        <f>IF(I37&lt;H37,(H37-I37),"")</f>
        <v>0.06</v>
      </c>
      <c r="L37" s="1109" t="str">
        <f>IF(H37&lt;I37,(I37-H37),"")</f>
        <v/>
      </c>
      <c r="M37" s="1109"/>
      <c r="N37" s="1109">
        <f>N27+K37</f>
        <v>1.2</v>
      </c>
    </row>
    <row r="38" spans="1:16">
      <c r="A38" s="1160"/>
      <c r="B38" s="1109">
        <v>17.7</v>
      </c>
      <c r="C38" s="1109">
        <v>0.72</v>
      </c>
      <c r="D38" s="1109">
        <v>0.8</v>
      </c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</row>
    <row r="39" spans="1:16">
      <c r="A39" s="1160"/>
      <c r="B39" s="1109"/>
      <c r="C39" s="1109"/>
      <c r="D39" s="1109"/>
      <c r="E39" s="1109">
        <f>SUM(0.5*C38,0.5*C40)</f>
        <v>0.76</v>
      </c>
      <c r="F39" s="1109">
        <f>SUM(0.5*D38,0.5*D40)</f>
        <v>0.73</v>
      </c>
      <c r="G39" s="1109">
        <f>SUM(B40,-B38)</f>
        <v>17.3</v>
      </c>
      <c r="H39" s="1109">
        <f>PRODUCT(E39,G39)</f>
        <v>13.15</v>
      </c>
      <c r="I39" s="1109">
        <f>PRODUCT(F39,G39)</f>
        <v>12.63</v>
      </c>
      <c r="J39" s="1109">
        <f>MIN(H39:I40)</f>
        <v>12.63</v>
      </c>
      <c r="K39" s="1109">
        <f>IF(I39&lt;H39,(H39-I39),"")</f>
        <v>0.52</v>
      </c>
      <c r="L39" s="1109" t="str">
        <f>IF(H39&lt;I39,(I39-H39),"")</f>
        <v/>
      </c>
      <c r="M39" s="1109"/>
      <c r="N39" s="1109">
        <f>N37+K39</f>
        <v>1.72</v>
      </c>
    </row>
    <row r="40" spans="1:16">
      <c r="A40" s="1160"/>
      <c r="B40" s="1109">
        <v>35</v>
      </c>
      <c r="C40" s="1109">
        <v>0.8</v>
      </c>
      <c r="D40" s="1109">
        <v>0.65</v>
      </c>
      <c r="E40" s="1109"/>
      <c r="F40" s="1109"/>
      <c r="G40" s="1109"/>
      <c r="H40" s="1109"/>
      <c r="I40" s="1109"/>
      <c r="J40" s="1109"/>
      <c r="K40" s="1109"/>
      <c r="L40" s="1109"/>
      <c r="M40" s="1109"/>
      <c r="N40" s="1109"/>
    </row>
    <row r="41" spans="1:16">
      <c r="A41" s="1160"/>
      <c r="B41" s="1109"/>
      <c r="C41" s="1109"/>
      <c r="D41" s="1109"/>
      <c r="E41" s="1109">
        <f>SUM(0.5*C40,0.5*C42)</f>
        <v>0.4</v>
      </c>
      <c r="F41" s="1109">
        <f>SUM(0.5*D40,0.5*D42)</f>
        <v>0.33</v>
      </c>
      <c r="G41" s="1109">
        <f>SUM(B42,-B40)</f>
        <v>17</v>
      </c>
      <c r="H41" s="1109">
        <f>PRODUCT(E41,G41)</f>
        <v>6.8</v>
      </c>
      <c r="I41" s="1109">
        <f>PRODUCT(F41,G41)</f>
        <v>5.61</v>
      </c>
      <c r="J41" s="1109">
        <f>MIN(H41:I42)</f>
        <v>5.61</v>
      </c>
      <c r="K41" s="1109">
        <f>IF(I41&lt;H41,(H41-I41),"")</f>
        <v>1.19</v>
      </c>
      <c r="L41" s="1109" t="str">
        <f>IF(H41&lt;I41,(I41-H41),"")</f>
        <v/>
      </c>
      <c r="M41" s="1109">
        <f>N39+K41</f>
        <v>2.91</v>
      </c>
      <c r="N41" s="1109"/>
    </row>
    <row r="42" spans="1:16">
      <c r="A42" s="1160"/>
      <c r="B42" s="1109">
        <v>52</v>
      </c>
      <c r="C42" s="1109">
        <v>0</v>
      </c>
      <c r="D42" s="1109">
        <v>0</v>
      </c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</row>
    <row r="43" spans="1:16" ht="17.25" customHeight="1">
      <c r="A43" s="1160"/>
      <c r="B43" s="1109"/>
      <c r="C43" s="1109"/>
      <c r="D43" s="1109"/>
      <c r="E43" s="163" t="s">
        <v>34</v>
      </c>
      <c r="F43" s="163" t="s">
        <v>34</v>
      </c>
      <c r="G43" s="163" t="s">
        <v>34</v>
      </c>
      <c r="H43" s="163" t="s">
        <v>34</v>
      </c>
      <c r="I43" s="163" t="s">
        <v>34</v>
      </c>
      <c r="J43" s="163" t="s">
        <v>34</v>
      </c>
      <c r="K43" s="163" t="s">
        <v>34</v>
      </c>
      <c r="L43" s="163" t="s">
        <v>34</v>
      </c>
      <c r="M43" s="163">
        <f>M41</f>
        <v>2.91</v>
      </c>
      <c r="N43" s="163"/>
    </row>
    <row r="44" spans="1:16" ht="12.75" customHeight="1">
      <c r="A44" s="1160"/>
      <c r="B44" s="1109" t="s">
        <v>34</v>
      </c>
      <c r="C44" s="1109" t="s">
        <v>34</v>
      </c>
      <c r="D44" s="1109" t="s">
        <v>34</v>
      </c>
      <c r="E44" s="1149" t="s">
        <v>277</v>
      </c>
      <c r="F44" s="1149"/>
      <c r="G44" s="1149"/>
      <c r="H44" s="1149">
        <f>SUM(H37:H43)</f>
        <v>25.14</v>
      </c>
      <c r="I44" s="1149">
        <f>SUM(I37:I43)</f>
        <v>23.37</v>
      </c>
      <c r="J44" s="1149">
        <f>SUM(J13:J43)</f>
        <v>263.79000000000002</v>
      </c>
      <c r="K44" s="1149">
        <f>SUM(K13:K43)</f>
        <v>42.67</v>
      </c>
      <c r="L44" s="1149">
        <f>SUM(L13:L43)</f>
        <v>38.619999999999997</v>
      </c>
      <c r="M44" s="1149">
        <f>M43</f>
        <v>2.91</v>
      </c>
      <c r="N44" s="1149"/>
    </row>
    <row r="45" spans="1:16" ht="13.5" customHeight="1">
      <c r="A45" s="1161"/>
      <c r="B45" s="1109"/>
      <c r="C45" s="1109"/>
      <c r="D45" s="1109"/>
      <c r="E45" s="1149"/>
      <c r="F45" s="1149"/>
      <c r="G45" s="1149"/>
      <c r="H45" s="1149"/>
      <c r="I45" s="1149"/>
      <c r="J45" s="1149"/>
      <c r="K45" s="1149"/>
      <c r="L45" s="1149"/>
      <c r="M45" s="1149"/>
      <c r="N45" s="1149"/>
    </row>
    <row r="46" spans="1:16" ht="14.25" customHeight="1"/>
    <row r="47" spans="1:16" ht="43.5" customHeight="1">
      <c r="B47" s="1170" t="s">
        <v>348</v>
      </c>
      <c r="C47" s="1171"/>
      <c r="D47" s="1171"/>
      <c r="E47" s="1171"/>
      <c r="F47" s="1171"/>
      <c r="G47" s="1172"/>
      <c r="H47" s="1176" t="s">
        <v>278</v>
      </c>
      <c r="I47" s="1176" t="s">
        <v>279</v>
      </c>
      <c r="J47" s="1178" t="s">
        <v>280</v>
      </c>
      <c r="K47" s="1179"/>
      <c r="P47" s="169"/>
    </row>
    <row r="48" spans="1:16" ht="15.75" customHeight="1">
      <c r="B48" s="1173"/>
      <c r="C48" s="1174"/>
      <c r="D48" s="1174"/>
      <c r="E48" s="1174"/>
      <c r="F48" s="1174"/>
      <c r="G48" s="1175"/>
      <c r="H48" s="1177"/>
      <c r="I48" s="1177"/>
      <c r="J48" s="183" t="s">
        <v>266</v>
      </c>
      <c r="K48" s="183" t="s">
        <v>267</v>
      </c>
      <c r="P48" s="169"/>
    </row>
    <row r="49" spans="2:11" ht="30.75" customHeight="1">
      <c r="B49" s="1162" t="s">
        <v>281</v>
      </c>
      <c r="C49" s="1162"/>
      <c r="D49" s="1162"/>
      <c r="E49" s="1162"/>
      <c r="F49" s="1162"/>
      <c r="G49" s="1162"/>
      <c r="H49" s="1163">
        <f>(3.14*1*1)*1.6+(3.14*1*1)*1.66+(3.14*1*1)*1.67+(3.14*1*1)*1.18</f>
        <v>19.190000000000001</v>
      </c>
      <c r="I49" s="1163">
        <f>H49-((3.14*0.6*0.6)*1.6+(3.14*0.6*0.6)*1.66+(3.14*0.6*0.6)*1.67+(3.14*0.6*0.6)*1.18)</f>
        <v>12.28</v>
      </c>
      <c r="J49" s="1109">
        <f>IF(I49&lt;H49,(H49-I49),"")</f>
        <v>6.91</v>
      </c>
      <c r="K49" s="1164" t="str">
        <f>IF(H49&lt;I49,(H49-I49),"")</f>
        <v/>
      </c>
    </row>
    <row r="50" spans="2:11" ht="24" customHeight="1">
      <c r="B50" s="1162"/>
      <c r="C50" s="1162"/>
      <c r="D50" s="1162"/>
      <c r="E50" s="1162"/>
      <c r="F50" s="1162"/>
      <c r="G50" s="1162"/>
      <c r="H50" s="1163"/>
      <c r="I50" s="1163"/>
      <c r="J50" s="1109"/>
      <c r="K50" s="1165"/>
    </row>
    <row r="51" spans="2:11">
      <c r="B51" s="1162" t="s">
        <v>282</v>
      </c>
      <c r="C51" s="1162"/>
      <c r="D51" s="1162"/>
      <c r="E51" s="1162"/>
      <c r="F51" s="1162"/>
      <c r="G51" s="1162"/>
      <c r="H51" s="1163">
        <f>1.1*(3.14*1.25*1.25)</f>
        <v>5.4</v>
      </c>
      <c r="I51" s="1169">
        <f>H51-(1.1*(3.14*0.75*0.75))</f>
        <v>3.457125</v>
      </c>
      <c r="J51" s="1109">
        <f>IF(I51&lt;H51,(H51-I51),"")</f>
        <v>1.94</v>
      </c>
      <c r="K51" s="1164" t="str">
        <f>IF(H51&lt;I51,(H51-I51),"")</f>
        <v/>
      </c>
    </row>
    <row r="52" spans="2:11" ht="20.25" customHeight="1">
      <c r="B52" s="1162"/>
      <c r="C52" s="1162"/>
      <c r="D52" s="1162"/>
      <c r="E52" s="1162"/>
      <c r="F52" s="1162"/>
      <c r="G52" s="1162"/>
      <c r="H52" s="1163"/>
      <c r="I52" s="1169"/>
      <c r="J52" s="1109"/>
      <c r="K52" s="1165"/>
    </row>
    <row r="53" spans="2:11" ht="16.5" customHeight="1">
      <c r="B53" s="1162" t="s">
        <v>283</v>
      </c>
      <c r="C53" s="1162"/>
      <c r="D53" s="1162"/>
      <c r="E53" s="1162"/>
      <c r="F53" s="1162"/>
      <c r="G53" s="1162"/>
      <c r="H53" s="1169">
        <f>1*0.5*11</f>
        <v>5.5</v>
      </c>
      <c r="I53" s="1163">
        <f>0.8*0.5*11</f>
        <v>4.4000000000000004</v>
      </c>
      <c r="J53" s="1109">
        <f>IF(I53&lt;H53,(H53-I53),"")</f>
        <v>1.1000000000000001</v>
      </c>
      <c r="K53" s="1164" t="str">
        <f>IF(H53&lt;I53,(H53-I53),"")</f>
        <v/>
      </c>
    </row>
    <row r="54" spans="2:11" ht="7.5" customHeight="1">
      <c r="B54" s="1162"/>
      <c r="C54" s="1162"/>
      <c r="D54" s="1162"/>
      <c r="E54" s="1162"/>
      <c r="F54" s="1162"/>
      <c r="G54" s="1162"/>
      <c r="H54" s="1169"/>
      <c r="I54" s="1163"/>
      <c r="J54" s="1109"/>
      <c r="K54" s="1165"/>
    </row>
    <row r="55" spans="2:11">
      <c r="B55" s="1162" t="s">
        <v>284</v>
      </c>
      <c r="C55" s="1162"/>
      <c r="D55" s="1162"/>
      <c r="E55" s="1162"/>
      <c r="F55" s="1162"/>
      <c r="G55" s="1162"/>
      <c r="H55" s="1163">
        <f>1*1*1.7*4</f>
        <v>6.8</v>
      </c>
      <c r="I55" s="1163">
        <f>H55-(0.25*0.25*3.14)*1.7*4</f>
        <v>5.47</v>
      </c>
      <c r="J55" s="1109">
        <f>IF(I55&lt;H55,(H55-I55),"")</f>
        <v>1.33</v>
      </c>
      <c r="K55" s="1164" t="str">
        <f>IF(H55&lt;I55,(H55-I55),"")</f>
        <v/>
      </c>
    </row>
    <row r="56" spans="2:11">
      <c r="B56" s="1162"/>
      <c r="C56" s="1162"/>
      <c r="D56" s="1162"/>
      <c r="E56" s="1162"/>
      <c r="F56" s="1162"/>
      <c r="G56" s="1162"/>
      <c r="H56" s="1163"/>
      <c r="I56" s="1163"/>
      <c r="J56" s="1109"/>
      <c r="K56" s="1165"/>
    </row>
    <row r="57" spans="2:11" ht="21" customHeight="1">
      <c r="I57" s="186" t="s">
        <v>7</v>
      </c>
      <c r="J57" s="187">
        <f>SUM(J49:J56)</f>
        <v>11.28</v>
      </c>
      <c r="K57" s="187">
        <f>SUM(K49:K56)</f>
        <v>0</v>
      </c>
    </row>
    <row r="60" spans="2:11" ht="13.5" thickBot="1"/>
    <row r="61" spans="2:11" ht="15" customHeight="1">
      <c r="B61" s="1166" t="s">
        <v>349</v>
      </c>
      <c r="C61" s="1167"/>
      <c r="D61" s="1167"/>
      <c r="E61" s="1167"/>
      <c r="F61" s="1167"/>
      <c r="G61" s="1167"/>
      <c r="H61" s="1167"/>
      <c r="I61" s="1168"/>
    </row>
    <row r="62" spans="2:11" ht="12.75" customHeight="1">
      <c r="B62" s="1150" t="s">
        <v>285</v>
      </c>
      <c r="C62" s="1151"/>
      <c r="D62" s="1151"/>
      <c r="E62" s="1151"/>
      <c r="F62" s="1151"/>
      <c r="G62" s="1151"/>
      <c r="H62" s="1067">
        <f>H28+J57</f>
        <v>151.94</v>
      </c>
      <c r="I62" s="1152"/>
    </row>
    <row r="63" spans="2:11">
      <c r="B63" s="1150"/>
      <c r="C63" s="1151"/>
      <c r="D63" s="1151"/>
      <c r="E63" s="1151"/>
      <c r="F63" s="1151"/>
      <c r="G63" s="1151"/>
      <c r="H63" s="1153"/>
      <c r="I63" s="1152"/>
    </row>
    <row r="64" spans="2:11" ht="12.75" customHeight="1">
      <c r="B64" s="1150" t="s">
        <v>286</v>
      </c>
      <c r="C64" s="1151"/>
      <c r="D64" s="1151"/>
      <c r="E64" s="1151"/>
      <c r="F64" s="1151"/>
      <c r="G64" s="1151"/>
      <c r="H64" s="1067">
        <f>I28</f>
        <v>139.52000000000001</v>
      </c>
      <c r="I64" s="1152"/>
    </row>
    <row r="65" spans="2:9">
      <c r="B65" s="1150"/>
      <c r="C65" s="1151"/>
      <c r="D65" s="1151"/>
      <c r="E65" s="1151"/>
      <c r="F65" s="1151"/>
      <c r="G65" s="1151"/>
      <c r="H65" s="1153"/>
      <c r="I65" s="1152"/>
    </row>
    <row r="66" spans="2:9" ht="12.75" customHeight="1">
      <c r="B66" s="1150" t="s">
        <v>287</v>
      </c>
      <c r="C66" s="1151"/>
      <c r="D66" s="1151"/>
      <c r="E66" s="1151"/>
      <c r="F66" s="1151"/>
      <c r="G66" s="1151"/>
      <c r="H66" s="1067">
        <f>H62-H64</f>
        <v>12.42</v>
      </c>
      <c r="I66" s="1152"/>
    </row>
    <row r="67" spans="2:9" ht="18" customHeight="1" thickBot="1">
      <c r="B67" s="1154"/>
      <c r="C67" s="1155"/>
      <c r="D67" s="1155"/>
      <c r="E67" s="1155"/>
      <c r="F67" s="1155"/>
      <c r="G67" s="1155"/>
      <c r="H67" s="1156"/>
      <c r="I67" s="1157"/>
    </row>
    <row r="68" spans="2:9" ht="13.5" thickBot="1"/>
    <row r="69" spans="2:9" ht="15">
      <c r="B69" s="1166" t="s">
        <v>350</v>
      </c>
      <c r="C69" s="1167"/>
      <c r="D69" s="1167"/>
      <c r="E69" s="1167"/>
      <c r="F69" s="1167"/>
      <c r="G69" s="1167"/>
      <c r="H69" s="1167"/>
      <c r="I69" s="1168"/>
    </row>
    <row r="70" spans="2:9">
      <c r="B70" s="1150" t="s">
        <v>285</v>
      </c>
      <c r="C70" s="1151"/>
      <c r="D70" s="1151"/>
      <c r="E70" s="1151"/>
      <c r="F70" s="1151"/>
      <c r="G70" s="1151"/>
      <c r="H70" s="1067">
        <f>H44</f>
        <v>25.14</v>
      </c>
      <c r="I70" s="1152"/>
    </row>
    <row r="71" spans="2:9">
      <c r="B71" s="1150"/>
      <c r="C71" s="1151"/>
      <c r="D71" s="1151"/>
      <c r="E71" s="1151"/>
      <c r="F71" s="1151"/>
      <c r="G71" s="1151"/>
      <c r="H71" s="1153"/>
      <c r="I71" s="1152"/>
    </row>
    <row r="72" spans="2:9">
      <c r="B72" s="1150" t="s">
        <v>286</v>
      </c>
      <c r="C72" s="1151"/>
      <c r="D72" s="1151"/>
      <c r="E72" s="1151"/>
      <c r="F72" s="1151"/>
      <c r="G72" s="1151"/>
      <c r="H72" s="1067">
        <f>I44</f>
        <v>23.37</v>
      </c>
      <c r="I72" s="1152"/>
    </row>
    <row r="73" spans="2:9">
      <c r="B73" s="1150"/>
      <c r="C73" s="1151"/>
      <c r="D73" s="1151"/>
      <c r="E73" s="1151"/>
      <c r="F73" s="1151"/>
      <c r="G73" s="1151"/>
      <c r="H73" s="1153"/>
      <c r="I73" s="1152"/>
    </row>
    <row r="74" spans="2:9">
      <c r="B74" s="1150" t="s">
        <v>287</v>
      </c>
      <c r="C74" s="1151"/>
      <c r="D74" s="1151"/>
      <c r="E74" s="1151"/>
      <c r="F74" s="1151"/>
      <c r="G74" s="1151"/>
      <c r="H74" s="1067">
        <f>H70-H72</f>
        <v>1.77</v>
      </c>
      <c r="I74" s="1152"/>
    </row>
    <row r="75" spans="2:9" ht="13.5" thickBot="1">
      <c r="B75" s="1154"/>
      <c r="C75" s="1155"/>
      <c r="D75" s="1155"/>
      <c r="E75" s="1155"/>
      <c r="F75" s="1155"/>
      <c r="G75" s="1155"/>
      <c r="H75" s="1156"/>
      <c r="I75" s="1157"/>
    </row>
  </sheetData>
  <mergeCells count="231">
    <mergeCell ref="M1:N2"/>
    <mergeCell ref="A3:N3"/>
    <mergeCell ref="A4:N5"/>
    <mergeCell ref="A7:N7"/>
    <mergeCell ref="A8:A11"/>
    <mergeCell ref="B8:B11"/>
    <mergeCell ref="C8:D9"/>
    <mergeCell ref="E8:F9"/>
    <mergeCell ref="G8:G11"/>
    <mergeCell ref="H8:I9"/>
    <mergeCell ref="J8:J11"/>
    <mergeCell ref="K8:L9"/>
    <mergeCell ref="M8:N9"/>
    <mergeCell ref="C11:D11"/>
    <mergeCell ref="E11:F11"/>
    <mergeCell ref="H11:I11"/>
    <mergeCell ref="K11:L11"/>
    <mergeCell ref="M11:N11"/>
    <mergeCell ref="B12:B13"/>
    <mergeCell ref="C12:C13"/>
    <mergeCell ref="D12:D13"/>
    <mergeCell ref="E13:E14"/>
    <mergeCell ref="F13:F14"/>
    <mergeCell ref="D24:D25"/>
    <mergeCell ref="E25:E26"/>
    <mergeCell ref="F25:F26"/>
    <mergeCell ref="B22:B23"/>
    <mergeCell ref="B26:B27"/>
    <mergeCell ref="E17:E18"/>
    <mergeCell ref="F17:F18"/>
    <mergeCell ref="B24:B25"/>
    <mergeCell ref="G13:G14"/>
    <mergeCell ref="H13:H14"/>
    <mergeCell ref="I13:I14"/>
    <mergeCell ref="J13:J14"/>
    <mergeCell ref="K13:K14"/>
    <mergeCell ref="L13:L14"/>
    <mergeCell ref="M13:M14"/>
    <mergeCell ref="N13:N14"/>
    <mergeCell ref="B14:B15"/>
    <mergeCell ref="C14:C15"/>
    <mergeCell ref="D14:D15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B16:B17"/>
    <mergeCell ref="C16:C17"/>
    <mergeCell ref="D16:D17"/>
    <mergeCell ref="G17:G18"/>
    <mergeCell ref="H17:H18"/>
    <mergeCell ref="I17:I18"/>
    <mergeCell ref="J17:J18"/>
    <mergeCell ref="K17:K18"/>
    <mergeCell ref="L17:L18"/>
    <mergeCell ref="M17:M18"/>
    <mergeCell ref="N17:N18"/>
    <mergeCell ref="B18:B19"/>
    <mergeCell ref="C18:C19"/>
    <mergeCell ref="D18:D19"/>
    <mergeCell ref="E19:E20"/>
    <mergeCell ref="F19:F20"/>
    <mergeCell ref="G19:G20"/>
    <mergeCell ref="H19:H20"/>
    <mergeCell ref="I19:I20"/>
    <mergeCell ref="N19:N20"/>
    <mergeCell ref="B20:B21"/>
    <mergeCell ref="C20:C21"/>
    <mergeCell ref="D20:D21"/>
    <mergeCell ref="E21:E22"/>
    <mergeCell ref="F21:F22"/>
    <mergeCell ref="I21:I22"/>
    <mergeCell ref="J21:J22"/>
    <mergeCell ref="J19:J20"/>
    <mergeCell ref="K19:K20"/>
    <mergeCell ref="L19:L20"/>
    <mergeCell ref="M19:M20"/>
    <mergeCell ref="C22:C23"/>
    <mergeCell ref="D22:D23"/>
    <mergeCell ref="E23:E24"/>
    <mergeCell ref="F23:F24"/>
    <mergeCell ref="G23:G24"/>
    <mergeCell ref="K23:K24"/>
    <mergeCell ref="H23:H24"/>
    <mergeCell ref="I23:I24"/>
    <mergeCell ref="G21:G22"/>
    <mergeCell ref="H21:H22"/>
    <mergeCell ref="M23:M24"/>
    <mergeCell ref="M25:M26"/>
    <mergeCell ref="M21:M22"/>
    <mergeCell ref="N21:N22"/>
    <mergeCell ref="K21:K22"/>
    <mergeCell ref="L21:L22"/>
    <mergeCell ref="N25:N26"/>
    <mergeCell ref="C26:C27"/>
    <mergeCell ref="D26:D27"/>
    <mergeCell ref="N23:N24"/>
    <mergeCell ref="C24:C25"/>
    <mergeCell ref="K25:K26"/>
    <mergeCell ref="L25:L26"/>
    <mergeCell ref="J23:J24"/>
    <mergeCell ref="L23:L24"/>
    <mergeCell ref="A31:N31"/>
    <mergeCell ref="G25:G26"/>
    <mergeCell ref="H25:H26"/>
    <mergeCell ref="I25:I26"/>
    <mergeCell ref="J25:J26"/>
    <mergeCell ref="A32:A35"/>
    <mergeCell ref="B32:B35"/>
    <mergeCell ref="C32:D33"/>
    <mergeCell ref="E32:F33"/>
    <mergeCell ref="G32:G35"/>
    <mergeCell ref="H32:I33"/>
    <mergeCell ref="J32:J35"/>
    <mergeCell ref="K32:L33"/>
    <mergeCell ref="M32:N33"/>
    <mergeCell ref="C35:D35"/>
    <mergeCell ref="E35:F35"/>
    <mergeCell ref="H35:I35"/>
    <mergeCell ref="K35:L35"/>
    <mergeCell ref="M35:N35"/>
    <mergeCell ref="M28:M29"/>
    <mergeCell ref="D28:D29"/>
    <mergeCell ref="E28:G29"/>
    <mergeCell ref="B28:B29"/>
    <mergeCell ref="C28:C29"/>
    <mergeCell ref="A36:A45"/>
    <mergeCell ref="B36:B37"/>
    <mergeCell ref="C36:C37"/>
    <mergeCell ref="D36:D37"/>
    <mergeCell ref="E37:E38"/>
    <mergeCell ref="F37:F38"/>
    <mergeCell ref="G37:G38"/>
    <mergeCell ref="H37:H38"/>
    <mergeCell ref="I37:I38"/>
    <mergeCell ref="H41:H42"/>
    <mergeCell ref="I41:I42"/>
    <mergeCell ref="J37:J38"/>
    <mergeCell ref="K37:K38"/>
    <mergeCell ref="L37:L38"/>
    <mergeCell ref="M37:M38"/>
    <mergeCell ref="N37:N38"/>
    <mergeCell ref="B38:B39"/>
    <mergeCell ref="C38:C39"/>
    <mergeCell ref="D38:D39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B40:B41"/>
    <mergeCell ref="C40:C41"/>
    <mergeCell ref="D40:D41"/>
    <mergeCell ref="E41:E42"/>
    <mergeCell ref="F41:F42"/>
    <mergeCell ref="G41:G42"/>
    <mergeCell ref="J41:J42"/>
    <mergeCell ref="K41:K42"/>
    <mergeCell ref="L41:L42"/>
    <mergeCell ref="M41:M42"/>
    <mergeCell ref="N41:N42"/>
    <mergeCell ref="B42:B43"/>
    <mergeCell ref="C42:C43"/>
    <mergeCell ref="D42:D43"/>
    <mergeCell ref="B44:B45"/>
    <mergeCell ref="C44:C45"/>
    <mergeCell ref="D44:D45"/>
    <mergeCell ref="E44:G45"/>
    <mergeCell ref="H44:H45"/>
    <mergeCell ref="I44:I45"/>
    <mergeCell ref="J44:J45"/>
    <mergeCell ref="K44:K45"/>
    <mergeCell ref="L44:L45"/>
    <mergeCell ref="M44:M45"/>
    <mergeCell ref="N44:N45"/>
    <mergeCell ref="B47:G48"/>
    <mergeCell ref="H47:H48"/>
    <mergeCell ref="I47:I48"/>
    <mergeCell ref="J47:K47"/>
    <mergeCell ref="B49:G50"/>
    <mergeCell ref="H49:H50"/>
    <mergeCell ref="I49:I50"/>
    <mergeCell ref="J49:J50"/>
    <mergeCell ref="K49:K50"/>
    <mergeCell ref="B66:G67"/>
    <mergeCell ref="H66:I67"/>
    <mergeCell ref="B51:G52"/>
    <mergeCell ref="H51:H52"/>
    <mergeCell ref="I51:I52"/>
    <mergeCell ref="J51:J52"/>
    <mergeCell ref="K51:K52"/>
    <mergeCell ref="B53:G54"/>
    <mergeCell ref="H53:H54"/>
    <mergeCell ref="I53:I54"/>
    <mergeCell ref="J53:J54"/>
    <mergeCell ref="K53:K54"/>
    <mergeCell ref="H28:H29"/>
    <mergeCell ref="B72:G73"/>
    <mergeCell ref="H72:I73"/>
    <mergeCell ref="B74:G75"/>
    <mergeCell ref="H74:I75"/>
    <mergeCell ref="N28:N29"/>
    <mergeCell ref="A12:A29"/>
    <mergeCell ref="I28:I29"/>
    <mergeCell ref="J28:J29"/>
    <mergeCell ref="K28:K29"/>
    <mergeCell ref="L28:L29"/>
    <mergeCell ref="B55:G56"/>
    <mergeCell ref="H55:H56"/>
    <mergeCell ref="I55:I56"/>
    <mergeCell ref="J55:J56"/>
    <mergeCell ref="K55:K56"/>
    <mergeCell ref="B61:I61"/>
    <mergeCell ref="B69:I69"/>
    <mergeCell ref="B70:G71"/>
    <mergeCell ref="H70:I71"/>
    <mergeCell ref="B62:G63"/>
    <mergeCell ref="H62:I63"/>
    <mergeCell ref="B64:G65"/>
    <mergeCell ref="H64:I65"/>
  </mergeCells>
  <printOptions horizontalCentered="1"/>
  <pageMargins left="0.74803149606299213" right="0.74803149606299213" top="0.98425196850393704" bottom="0.98425196850393704" header="0.51181102362204722" footer="0.51181102362204722"/>
  <pageSetup paperSize="8" scale="92" fitToWidth="0" orientation="portrait" horizontalDpi="4294967294" verticalDpi="4294967294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4"/>
  <sheetViews>
    <sheetView view="pageBreakPreview" zoomScale="115" zoomScaleNormal="100" zoomScaleSheetLayoutView="115" workbookViewId="0">
      <selection activeCell="V104" sqref="V104"/>
    </sheetView>
  </sheetViews>
  <sheetFormatPr defaultRowHeight="12.75"/>
  <cols>
    <col min="4" max="4" width="11.5703125" customWidth="1"/>
    <col min="5" max="5" width="10.42578125" customWidth="1"/>
    <col min="6" max="6" width="10.5703125" customWidth="1"/>
  </cols>
  <sheetData>
    <row r="1" spans="1:9" ht="18.75" customHeight="1">
      <c r="E1" s="1184" t="s">
        <v>288</v>
      </c>
      <c r="F1" s="1184"/>
      <c r="G1" s="1184"/>
    </row>
    <row r="2" spans="1:9">
      <c r="H2" s="1185"/>
      <c r="I2" s="1185"/>
    </row>
    <row r="3" spans="1:9" ht="12.75" customHeight="1">
      <c r="A3" s="1186" t="s">
        <v>289</v>
      </c>
      <c r="B3" s="1186"/>
      <c r="C3" s="1186"/>
      <c r="D3" s="1186"/>
      <c r="E3" s="1186"/>
      <c r="F3" s="1186"/>
      <c r="G3" s="188"/>
      <c r="H3" s="188"/>
      <c r="I3" s="188"/>
    </row>
    <row r="4" spans="1:9" ht="12.75" customHeight="1">
      <c r="A4" s="1186"/>
      <c r="B4" s="1186"/>
      <c r="C4" s="1186"/>
      <c r="D4" s="1186"/>
      <c r="E4" s="1186"/>
      <c r="F4" s="1186"/>
      <c r="G4" s="188"/>
      <c r="H4" s="188"/>
      <c r="I4" s="188"/>
    </row>
    <row r="5" spans="1:9" ht="12.75" customHeight="1">
      <c r="A5" s="1119" t="s">
        <v>326</v>
      </c>
      <c r="B5" s="1119"/>
      <c r="C5" s="1119"/>
      <c r="D5" s="1119"/>
      <c r="E5" s="1119"/>
      <c r="F5" s="1119"/>
      <c r="G5" s="188"/>
      <c r="H5" s="188"/>
      <c r="I5" s="188"/>
    </row>
    <row r="6" spans="1:9" ht="69.75" customHeight="1">
      <c r="A6" s="1119"/>
      <c r="B6" s="1119"/>
      <c r="C6" s="1119"/>
      <c r="D6" s="1119"/>
      <c r="E6" s="1119"/>
      <c r="F6" s="1119"/>
      <c r="G6" s="161"/>
      <c r="H6" s="161"/>
      <c r="I6" s="161"/>
    </row>
    <row r="7" spans="1:9" ht="12.75" customHeight="1">
      <c r="A7" s="1120" t="s">
        <v>233</v>
      </c>
      <c r="B7" s="1121"/>
      <c r="C7" s="1121"/>
      <c r="D7" s="1121"/>
      <c r="E7" s="1121"/>
      <c r="F7" s="1122"/>
    </row>
    <row r="8" spans="1:9" ht="12.75" customHeight="1">
      <c r="A8" s="1123" t="s">
        <v>234</v>
      </c>
      <c r="B8" s="1123" t="s">
        <v>235</v>
      </c>
      <c r="C8" s="1123" t="s">
        <v>236</v>
      </c>
      <c r="D8" s="1125" t="s">
        <v>290</v>
      </c>
      <c r="E8" s="1125"/>
      <c r="F8" s="1125"/>
    </row>
    <row r="9" spans="1:9">
      <c r="A9" s="1124"/>
      <c r="B9" s="1124"/>
      <c r="C9" s="1123"/>
      <c r="D9" s="1123" t="s">
        <v>238</v>
      </c>
      <c r="E9" s="1123" t="s">
        <v>239</v>
      </c>
      <c r="F9" s="1123" t="s">
        <v>240</v>
      </c>
    </row>
    <row r="10" spans="1:9">
      <c r="A10" s="1124"/>
      <c r="B10" s="1124"/>
      <c r="C10" s="1123"/>
      <c r="D10" s="1123"/>
      <c r="E10" s="1123"/>
      <c r="F10" s="1123"/>
    </row>
    <row r="11" spans="1:9" ht="12" customHeight="1">
      <c r="A11" s="1124"/>
      <c r="B11" s="1124"/>
      <c r="C11" s="1123"/>
      <c r="D11" s="1123"/>
      <c r="E11" s="1123"/>
      <c r="F11" s="1123"/>
      <c r="G11" s="1183"/>
    </row>
    <row r="12" spans="1:9" ht="12" customHeight="1">
      <c r="A12" s="1111">
        <v>13</v>
      </c>
      <c r="B12" s="1109">
        <v>780</v>
      </c>
      <c r="C12" s="163" t="s">
        <v>34</v>
      </c>
      <c r="D12" s="1107">
        <v>0</v>
      </c>
      <c r="E12" s="164" t="s">
        <v>34</v>
      </c>
      <c r="F12" s="164" t="s">
        <v>34</v>
      </c>
      <c r="G12" s="1183"/>
    </row>
    <row r="13" spans="1:9" ht="12" customHeight="1">
      <c r="A13" s="1111"/>
      <c r="B13" s="1109"/>
      <c r="C13" s="1109">
        <f>B14-B12</f>
        <v>2.4</v>
      </c>
      <c r="D13" s="1107"/>
      <c r="E13" s="1107">
        <f>SUM(0.5*D12,0.5*D14)</f>
        <v>0.65</v>
      </c>
      <c r="F13" s="1107">
        <f>PRODUCT(C13,E13)</f>
        <v>1.56</v>
      </c>
      <c r="G13" s="1183"/>
    </row>
    <row r="14" spans="1:9" ht="12" customHeight="1">
      <c r="A14" s="1111"/>
      <c r="B14" s="1109">
        <v>782.4</v>
      </c>
      <c r="C14" s="1109"/>
      <c r="D14" s="1110">
        <v>1.3</v>
      </c>
      <c r="E14" s="1107"/>
      <c r="F14" s="1107"/>
      <c r="G14" s="1183"/>
    </row>
    <row r="15" spans="1:9" ht="12" customHeight="1">
      <c r="A15" s="1111"/>
      <c r="B15" s="1109"/>
      <c r="C15" s="1109">
        <f>B16-B14</f>
        <v>28.9</v>
      </c>
      <c r="D15" s="1133"/>
      <c r="E15" s="1107">
        <f>SUM(0.5*D14,0.5*D16)</f>
        <v>1.45</v>
      </c>
      <c r="F15" s="1107">
        <f>PRODUCT(C15,E15)</f>
        <v>41.91</v>
      </c>
      <c r="G15" s="1183"/>
    </row>
    <row r="16" spans="1:9" ht="12" customHeight="1">
      <c r="A16" s="1111"/>
      <c r="B16" s="1109">
        <v>811.3</v>
      </c>
      <c r="C16" s="1109"/>
      <c r="D16" s="1107">
        <v>1.6</v>
      </c>
      <c r="E16" s="1107"/>
      <c r="F16" s="1107"/>
      <c r="G16" s="1183"/>
    </row>
    <row r="17" spans="1:7" ht="12" customHeight="1">
      <c r="A17" s="1111"/>
      <c r="B17" s="1109"/>
      <c r="C17" s="1109">
        <f>B18-B16</f>
        <v>18.7</v>
      </c>
      <c r="D17" s="1107"/>
      <c r="E17" s="1107">
        <f>SUM(0.5*D16,0.5*D18)</f>
        <v>1.6</v>
      </c>
      <c r="F17" s="1107">
        <f>PRODUCT(C17,E17)</f>
        <v>29.92</v>
      </c>
      <c r="G17" s="1183"/>
    </row>
    <row r="18" spans="1:7" ht="12" customHeight="1">
      <c r="A18" s="1111"/>
      <c r="B18" s="1109">
        <v>830</v>
      </c>
      <c r="C18" s="1109"/>
      <c r="D18" s="1107">
        <v>1.6</v>
      </c>
      <c r="E18" s="1107"/>
      <c r="F18" s="1107"/>
      <c r="G18" s="1183"/>
    </row>
    <row r="19" spans="1:7" ht="12" customHeight="1">
      <c r="A19" s="1111"/>
      <c r="B19" s="1109"/>
      <c r="C19" s="1109">
        <f>B20-B18</f>
        <v>31.6</v>
      </c>
      <c r="D19" s="1107"/>
      <c r="E19" s="1107">
        <f>SUM(0.5*D18,0.5*D20)</f>
        <v>1.6</v>
      </c>
      <c r="F19" s="1107">
        <f>PRODUCT(C19,E19)</f>
        <v>50.56</v>
      </c>
      <c r="G19" s="1183"/>
    </row>
    <row r="20" spans="1:7" ht="12" customHeight="1">
      <c r="A20" s="1111"/>
      <c r="B20" s="1109">
        <v>861.6</v>
      </c>
      <c r="C20" s="1109"/>
      <c r="D20" s="1107">
        <v>1.6</v>
      </c>
      <c r="E20" s="1107"/>
      <c r="F20" s="1107"/>
      <c r="G20" s="1183"/>
    </row>
    <row r="21" spans="1:7" ht="12" customHeight="1">
      <c r="A21" s="1111"/>
      <c r="B21" s="1109"/>
      <c r="C21" s="1109">
        <f>B22-B20</f>
        <v>18.399999999999999</v>
      </c>
      <c r="D21" s="1107"/>
      <c r="E21" s="1107">
        <f>SUM(0.5*D20,0.5*D22)</f>
        <v>1.6</v>
      </c>
      <c r="F21" s="1107">
        <f>PRODUCT(C21,E21)</f>
        <v>29.44</v>
      </c>
      <c r="G21" s="1183"/>
    </row>
    <row r="22" spans="1:7" ht="12" customHeight="1">
      <c r="A22" s="1111"/>
      <c r="B22" s="1109">
        <v>880</v>
      </c>
      <c r="C22" s="1109"/>
      <c r="D22" s="1107">
        <v>1.6</v>
      </c>
      <c r="E22" s="1107"/>
      <c r="F22" s="1107"/>
      <c r="G22" s="1183"/>
    </row>
    <row r="23" spans="1:7" ht="12" customHeight="1">
      <c r="A23" s="1111"/>
      <c r="B23" s="1109"/>
      <c r="C23" s="1109">
        <f>B24-B22</f>
        <v>23.7</v>
      </c>
      <c r="D23" s="1107"/>
      <c r="E23" s="1107">
        <f>SUM(0.5*D22,0.5*D24)</f>
        <v>1.6</v>
      </c>
      <c r="F23" s="1107">
        <f>PRODUCT(C23,E23)</f>
        <v>37.92</v>
      </c>
      <c r="G23" s="1183"/>
    </row>
    <row r="24" spans="1:7" ht="12" customHeight="1">
      <c r="A24" s="1111"/>
      <c r="B24" s="1109">
        <v>903.7</v>
      </c>
      <c r="C24" s="1109"/>
      <c r="D24" s="1107">
        <v>1.6</v>
      </c>
      <c r="E24" s="1107"/>
      <c r="F24" s="1107"/>
      <c r="G24" s="1183"/>
    </row>
    <row r="25" spans="1:7" ht="12" customHeight="1">
      <c r="A25" s="1111"/>
      <c r="B25" s="1109"/>
      <c r="C25" s="1109">
        <f>B26-B24</f>
        <v>34.299999999999997</v>
      </c>
      <c r="D25" s="1107"/>
      <c r="E25" s="1107">
        <f>SUM(0.5*D24,0.5*D26)</f>
        <v>2.4</v>
      </c>
      <c r="F25" s="1107">
        <f>PRODUCT(C25,E25)</f>
        <v>82.32</v>
      </c>
      <c r="G25" s="1183"/>
    </row>
    <row r="26" spans="1:7" ht="12" customHeight="1">
      <c r="A26" s="1111"/>
      <c r="B26" s="1109">
        <v>938</v>
      </c>
      <c r="C26" s="1109"/>
      <c r="D26" s="1107">
        <v>3.2</v>
      </c>
      <c r="E26" s="1107"/>
      <c r="F26" s="1107"/>
      <c r="G26" s="1183"/>
    </row>
    <row r="27" spans="1:7" ht="12" customHeight="1">
      <c r="A27" s="1111"/>
      <c r="B27" s="1109"/>
      <c r="C27" s="163" t="s">
        <v>34</v>
      </c>
      <c r="D27" s="1110"/>
      <c r="E27" s="205" t="s">
        <v>34</v>
      </c>
      <c r="F27" s="205" t="s">
        <v>34</v>
      </c>
      <c r="G27" s="1183"/>
    </row>
    <row r="28" spans="1:7" ht="12" customHeight="1">
      <c r="A28" s="209"/>
      <c r="B28" s="211"/>
      <c r="C28" s="211"/>
      <c r="D28" s="1112" t="s">
        <v>242</v>
      </c>
      <c r="E28" s="1112"/>
      <c r="F28" s="1113">
        <f>SUM(F13:F26)</f>
        <v>273.63</v>
      </c>
      <c r="G28" s="1148"/>
    </row>
    <row r="29" spans="1:7" ht="12" customHeight="1">
      <c r="A29" s="212"/>
      <c r="B29" s="213"/>
      <c r="C29" s="213"/>
      <c r="D29" s="1112"/>
      <c r="E29" s="1112"/>
      <c r="F29" s="1113"/>
      <c r="G29" s="1148"/>
    </row>
    <row r="30" spans="1:7" ht="12" customHeight="1">
      <c r="A30" s="212"/>
      <c r="B30" s="213"/>
      <c r="C30" s="213"/>
      <c r="D30" s="1112" t="s">
        <v>243</v>
      </c>
      <c r="E30" s="1112"/>
      <c r="F30" s="1113">
        <f>-(6.5*0.8+4.5*0.8+12.5*0.8)</f>
        <v>-18.8</v>
      </c>
      <c r="G30" s="1148"/>
    </row>
    <row r="31" spans="1:7" ht="12" customHeight="1">
      <c r="A31" s="212"/>
      <c r="B31" s="213"/>
      <c r="C31" s="213"/>
      <c r="D31" s="1112"/>
      <c r="E31" s="1112"/>
      <c r="F31" s="1113"/>
      <c r="G31" s="1148"/>
    </row>
    <row r="32" spans="1:7" ht="12" customHeight="1">
      <c r="A32" s="212"/>
      <c r="B32" s="213"/>
      <c r="C32" s="213"/>
      <c r="D32" s="1112" t="s">
        <v>340</v>
      </c>
      <c r="E32" s="1112"/>
      <c r="F32" s="1113">
        <f>F28+F30</f>
        <v>254.83</v>
      </c>
      <c r="G32" s="1148"/>
    </row>
    <row r="33" spans="1:10" ht="12" customHeight="1">
      <c r="A33" s="212"/>
      <c r="B33" s="213"/>
      <c r="C33" s="213"/>
      <c r="D33" s="1112"/>
      <c r="E33" s="1112"/>
      <c r="F33" s="1113"/>
      <c r="G33" s="1148"/>
    </row>
    <row r="34" spans="1:10" ht="12" customHeight="1">
      <c r="A34" s="212"/>
      <c r="B34" s="213"/>
      <c r="C34" s="213"/>
      <c r="D34" s="214"/>
      <c r="E34" s="214"/>
      <c r="F34" s="214"/>
      <c r="G34" s="1148"/>
    </row>
    <row r="35" spans="1:10" ht="12" customHeight="1">
      <c r="A35" s="219"/>
      <c r="B35" s="220"/>
      <c r="C35" s="220"/>
      <c r="D35" s="221"/>
      <c r="E35" s="221"/>
      <c r="F35" s="221"/>
      <c r="G35" s="1148"/>
    </row>
    <row r="36" spans="1:10" ht="12" customHeight="1">
      <c r="A36" s="1120" t="s">
        <v>241</v>
      </c>
      <c r="B36" s="1121"/>
      <c r="C36" s="1121"/>
      <c r="D36" s="1121"/>
      <c r="E36" s="1121"/>
      <c r="F36" s="1122"/>
      <c r="G36" s="1183"/>
    </row>
    <row r="37" spans="1:10" ht="12" customHeight="1">
      <c r="A37" s="1123" t="s">
        <v>234</v>
      </c>
      <c r="B37" s="1123" t="s">
        <v>235</v>
      </c>
      <c r="C37" s="1123" t="s">
        <v>236</v>
      </c>
      <c r="D37" s="1125" t="s">
        <v>290</v>
      </c>
      <c r="E37" s="1125"/>
      <c r="F37" s="1125"/>
      <c r="J37" s="169"/>
    </row>
    <row r="38" spans="1:10" ht="12" customHeight="1">
      <c r="A38" s="1124"/>
      <c r="B38" s="1124"/>
      <c r="C38" s="1123"/>
      <c r="D38" s="1123" t="s">
        <v>238</v>
      </c>
      <c r="E38" s="1123" t="s">
        <v>239</v>
      </c>
      <c r="F38" s="1123" t="s">
        <v>240</v>
      </c>
      <c r="J38" s="169"/>
    </row>
    <row r="39" spans="1:10" ht="12" customHeight="1">
      <c r="A39" s="1124"/>
      <c r="B39" s="1124"/>
      <c r="C39" s="1123"/>
      <c r="D39" s="1123"/>
      <c r="E39" s="1123"/>
      <c r="F39" s="1123"/>
      <c r="H39" s="169"/>
    </row>
    <row r="40" spans="1:10" ht="12" customHeight="1">
      <c r="A40" s="1124"/>
      <c r="B40" s="1124"/>
      <c r="C40" s="1123"/>
      <c r="D40" s="1123"/>
      <c r="E40" s="1123"/>
      <c r="F40" s="1123"/>
    </row>
    <row r="41" spans="1:10">
      <c r="A41" s="1111">
        <v>0</v>
      </c>
      <c r="B41" s="1132">
        <v>12</v>
      </c>
      <c r="C41" s="165" t="s">
        <v>34</v>
      </c>
      <c r="D41" s="1133">
        <v>2.2000000000000002</v>
      </c>
      <c r="E41" s="166" t="s">
        <v>34</v>
      </c>
      <c r="F41" s="166" t="s">
        <v>34</v>
      </c>
    </row>
    <row r="42" spans="1:10">
      <c r="A42" s="1111"/>
      <c r="B42" s="1109"/>
      <c r="C42" s="1109">
        <f>B43-B41</f>
        <v>5.7</v>
      </c>
      <c r="D42" s="1110"/>
      <c r="E42" s="1107">
        <f>SUM(0.5*D41,0.5*D43)</f>
        <v>1.65</v>
      </c>
      <c r="F42" s="1107">
        <f>PRODUCT(C42,E42)</f>
        <v>9.41</v>
      </c>
    </row>
    <row r="43" spans="1:10">
      <c r="A43" s="1111"/>
      <c r="B43" s="1109">
        <v>17.7</v>
      </c>
      <c r="C43" s="1109"/>
      <c r="D43" s="1107">
        <v>1.1000000000000001</v>
      </c>
      <c r="E43" s="1107"/>
      <c r="F43" s="1107"/>
    </row>
    <row r="44" spans="1:10">
      <c r="A44" s="1111"/>
      <c r="B44" s="1109"/>
      <c r="C44" s="1114">
        <f>B45-B43</f>
        <v>17.3</v>
      </c>
      <c r="D44" s="1110"/>
      <c r="E44" s="1107">
        <f>SUM(0.5*D43,0.5*D45)</f>
        <v>1.1000000000000001</v>
      </c>
      <c r="F44" s="1107">
        <f>PRODUCT(C44,E44)</f>
        <v>19.03</v>
      </c>
    </row>
    <row r="45" spans="1:10">
      <c r="A45" s="1111"/>
      <c r="B45" s="1109">
        <v>35</v>
      </c>
      <c r="C45" s="1115"/>
      <c r="D45" s="1107">
        <v>1.1000000000000001</v>
      </c>
      <c r="E45" s="1107"/>
      <c r="F45" s="1107"/>
    </row>
    <row r="46" spans="1:10">
      <c r="A46" s="1111"/>
      <c r="B46" s="1109"/>
      <c r="C46" s="1114">
        <f>B47-B45</f>
        <v>17</v>
      </c>
      <c r="D46" s="1110"/>
      <c r="E46" s="1107">
        <f>SUM(0.5*D45,0.5*D47)</f>
        <v>0.55000000000000004</v>
      </c>
      <c r="F46" s="1107">
        <f>PRODUCT(C46,E46)</f>
        <v>9.35</v>
      </c>
    </row>
    <row r="47" spans="1:10">
      <c r="A47" s="1111"/>
      <c r="B47" s="1109">
        <v>52</v>
      </c>
      <c r="C47" s="1115"/>
      <c r="D47" s="1107">
        <v>0</v>
      </c>
      <c r="E47" s="1107"/>
      <c r="F47" s="1107"/>
    </row>
    <row r="48" spans="1:10">
      <c r="A48" s="1111"/>
      <c r="B48" s="1109"/>
      <c r="C48" s="163" t="s">
        <v>34</v>
      </c>
      <c r="D48" s="1110"/>
      <c r="E48" s="205" t="s">
        <v>34</v>
      </c>
      <c r="F48" s="205" t="s">
        <v>34</v>
      </c>
    </row>
    <row r="49" spans="3:6">
      <c r="D49" s="1112" t="s">
        <v>242</v>
      </c>
      <c r="E49" s="1112"/>
      <c r="F49" s="1113">
        <f>SUM(F42:F48)</f>
        <v>37.79</v>
      </c>
    </row>
    <row r="50" spans="3:6" ht="13.5" customHeight="1">
      <c r="C50" s="159"/>
      <c r="D50" s="1112"/>
      <c r="E50" s="1112"/>
      <c r="F50" s="1113"/>
    </row>
    <row r="51" spans="3:6">
      <c r="D51" s="1112" t="s">
        <v>243</v>
      </c>
      <c r="E51" s="1112"/>
      <c r="F51" s="1113">
        <f>-(10.5*0.8+8*0.8)</f>
        <v>-14.8</v>
      </c>
    </row>
    <row r="52" spans="3:6">
      <c r="D52" s="1112"/>
      <c r="E52" s="1112"/>
      <c r="F52" s="1113"/>
    </row>
    <row r="53" spans="3:6">
      <c r="D53" s="1112" t="s">
        <v>341</v>
      </c>
      <c r="E53" s="1112"/>
      <c r="F53" s="1113">
        <f>F49+F51</f>
        <v>22.99</v>
      </c>
    </row>
    <row r="54" spans="3:6">
      <c r="D54" s="1112"/>
      <c r="E54" s="1112"/>
      <c r="F54" s="1113"/>
    </row>
  </sheetData>
  <mergeCells count="97">
    <mergeCell ref="E1:G1"/>
    <mergeCell ref="H2:I2"/>
    <mergeCell ref="A3:F4"/>
    <mergeCell ref="A5:F6"/>
    <mergeCell ref="A7:F7"/>
    <mergeCell ref="A8:A11"/>
    <mergeCell ref="B8:B11"/>
    <mergeCell ref="C8:C11"/>
    <mergeCell ref="D8:F8"/>
    <mergeCell ref="D9:D11"/>
    <mergeCell ref="E9:E11"/>
    <mergeCell ref="F9:F11"/>
    <mergeCell ref="G11:G12"/>
    <mergeCell ref="A12:A27"/>
    <mergeCell ref="B12:B13"/>
    <mergeCell ref="D12:D13"/>
    <mergeCell ref="C13:C14"/>
    <mergeCell ref="E13:E14"/>
    <mergeCell ref="F13:F14"/>
    <mergeCell ref="G13:G14"/>
    <mergeCell ref="B14:B15"/>
    <mergeCell ref="D14:D15"/>
    <mergeCell ref="C15:C16"/>
    <mergeCell ref="E15:E16"/>
    <mergeCell ref="F15:F16"/>
    <mergeCell ref="G15:G16"/>
    <mergeCell ref="B16:B17"/>
    <mergeCell ref="D16:D17"/>
    <mergeCell ref="C17:C18"/>
    <mergeCell ref="E17:E18"/>
    <mergeCell ref="F17:F18"/>
    <mergeCell ref="G17:G18"/>
    <mergeCell ref="B18:B19"/>
    <mergeCell ref="D18:D19"/>
    <mergeCell ref="C19:C20"/>
    <mergeCell ref="E19:E20"/>
    <mergeCell ref="F19:F20"/>
    <mergeCell ref="G19:G20"/>
    <mergeCell ref="B20:B21"/>
    <mergeCell ref="D20:D21"/>
    <mergeCell ref="C21:C22"/>
    <mergeCell ref="E21:E22"/>
    <mergeCell ref="F21:F22"/>
    <mergeCell ref="G21:G22"/>
    <mergeCell ref="B22:B23"/>
    <mergeCell ref="D22:D23"/>
    <mergeCell ref="C23:C24"/>
    <mergeCell ref="E23:E24"/>
    <mergeCell ref="F23:F24"/>
    <mergeCell ref="G23:G24"/>
    <mergeCell ref="B24:B25"/>
    <mergeCell ref="D24:D25"/>
    <mergeCell ref="C25:C26"/>
    <mergeCell ref="E25:E26"/>
    <mergeCell ref="F25:F26"/>
    <mergeCell ref="G25:G26"/>
    <mergeCell ref="B26:B27"/>
    <mergeCell ref="D26:D27"/>
    <mergeCell ref="G27:G36"/>
    <mergeCell ref="A36:F36"/>
    <mergeCell ref="D28:E29"/>
    <mergeCell ref="F28:F29"/>
    <mergeCell ref="D30:E31"/>
    <mergeCell ref="F30:F31"/>
    <mergeCell ref="D32:E33"/>
    <mergeCell ref="A37:A40"/>
    <mergeCell ref="B37:B40"/>
    <mergeCell ref="C37:C40"/>
    <mergeCell ref="D37:F37"/>
    <mergeCell ref="D38:D40"/>
    <mergeCell ref="E38:E40"/>
    <mergeCell ref="F38:F40"/>
    <mergeCell ref="A41:A48"/>
    <mergeCell ref="B41:B42"/>
    <mergeCell ref="D41:D42"/>
    <mergeCell ref="C42:C43"/>
    <mergeCell ref="E42:E43"/>
    <mergeCell ref="D53:E54"/>
    <mergeCell ref="F53:F54"/>
    <mergeCell ref="F42:F43"/>
    <mergeCell ref="B43:B44"/>
    <mergeCell ref="D43:D44"/>
    <mergeCell ref="C44:C45"/>
    <mergeCell ref="E44:E45"/>
    <mergeCell ref="F44:F45"/>
    <mergeCell ref="B45:B46"/>
    <mergeCell ref="D45:D46"/>
    <mergeCell ref="C46:C47"/>
    <mergeCell ref="E46:E47"/>
    <mergeCell ref="F46:F47"/>
    <mergeCell ref="B47:B48"/>
    <mergeCell ref="D47:D48"/>
    <mergeCell ref="F32:F33"/>
    <mergeCell ref="D49:E50"/>
    <mergeCell ref="F49:F50"/>
    <mergeCell ref="D51:E52"/>
    <mergeCell ref="F51:F5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horizontalDpi="4294967294" verticalDpi="4294967294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53"/>
  <sheetViews>
    <sheetView view="pageBreakPreview" topLeftCell="A7" zoomScale="115" zoomScaleNormal="100" zoomScaleSheetLayoutView="115" workbookViewId="0">
      <selection activeCell="V104" sqref="V104"/>
    </sheetView>
  </sheetViews>
  <sheetFormatPr defaultRowHeight="12.75"/>
  <cols>
    <col min="4" max="4" width="11.5703125" customWidth="1"/>
    <col min="5" max="5" width="10.42578125" customWidth="1"/>
    <col min="6" max="6" width="10.5703125" customWidth="1"/>
  </cols>
  <sheetData>
    <row r="1" spans="1:9" ht="18.75" customHeight="1">
      <c r="E1" s="1184" t="s">
        <v>291</v>
      </c>
      <c r="F1" s="1184"/>
      <c r="G1" s="1184"/>
    </row>
    <row r="2" spans="1:9">
      <c r="H2" s="1185"/>
      <c r="I2" s="1185"/>
    </row>
    <row r="3" spans="1:9" ht="12.75" customHeight="1">
      <c r="A3" s="1186" t="s">
        <v>292</v>
      </c>
      <c r="B3" s="1186"/>
      <c r="C3" s="1186"/>
      <c r="D3" s="1186"/>
      <c r="E3" s="1186"/>
      <c r="F3" s="1186"/>
      <c r="G3" s="188"/>
      <c r="H3" s="188"/>
      <c r="I3" s="188"/>
    </row>
    <row r="4" spans="1:9" ht="12.75" customHeight="1">
      <c r="A4" s="1186"/>
      <c r="B4" s="1186"/>
      <c r="C4" s="1186"/>
      <c r="D4" s="1186"/>
      <c r="E4" s="1186"/>
      <c r="F4" s="1186"/>
      <c r="G4" s="188"/>
      <c r="H4" s="188"/>
      <c r="I4" s="188"/>
    </row>
    <row r="5" spans="1:9" ht="12.75" customHeight="1">
      <c r="A5" s="1119" t="s">
        <v>326</v>
      </c>
      <c r="B5" s="1119"/>
      <c r="C5" s="1119"/>
      <c r="D5" s="1119"/>
      <c r="E5" s="1119"/>
      <c r="F5" s="1119"/>
      <c r="G5" s="188"/>
      <c r="H5" s="188"/>
      <c r="I5" s="188"/>
    </row>
    <row r="6" spans="1:9" ht="69.75" customHeight="1">
      <c r="A6" s="1119"/>
      <c r="B6" s="1119"/>
      <c r="C6" s="1119"/>
      <c r="D6" s="1119"/>
      <c r="E6" s="1119"/>
      <c r="F6" s="1119"/>
      <c r="G6" s="161"/>
      <c r="H6" s="161"/>
      <c r="I6" s="161"/>
    </row>
    <row r="7" spans="1:9" ht="12.75" customHeight="1">
      <c r="A7" s="1120" t="s">
        <v>233</v>
      </c>
      <c r="B7" s="1121"/>
      <c r="C7" s="1121"/>
      <c r="D7" s="1121"/>
      <c r="E7" s="1121"/>
      <c r="F7" s="1122"/>
    </row>
    <row r="8" spans="1:9" ht="12.75" customHeight="1">
      <c r="A8" s="1123" t="s">
        <v>234</v>
      </c>
      <c r="B8" s="1123" t="s">
        <v>235</v>
      </c>
      <c r="C8" s="1123" t="s">
        <v>236</v>
      </c>
      <c r="D8" s="1125" t="s">
        <v>293</v>
      </c>
      <c r="E8" s="1125"/>
      <c r="F8" s="1125"/>
    </row>
    <row r="9" spans="1:9">
      <c r="A9" s="1124"/>
      <c r="B9" s="1124"/>
      <c r="C9" s="1123"/>
      <c r="D9" s="1123" t="s">
        <v>238</v>
      </c>
      <c r="E9" s="1123" t="s">
        <v>239</v>
      </c>
      <c r="F9" s="1123" t="s">
        <v>240</v>
      </c>
    </row>
    <row r="10" spans="1:9">
      <c r="A10" s="1124"/>
      <c r="B10" s="1124"/>
      <c r="C10" s="1123"/>
      <c r="D10" s="1123"/>
      <c r="E10" s="1123"/>
      <c r="F10" s="1123"/>
    </row>
    <row r="11" spans="1:9" ht="12" customHeight="1">
      <c r="A11" s="1124"/>
      <c r="B11" s="1124"/>
      <c r="C11" s="1123"/>
      <c r="D11" s="1123"/>
      <c r="E11" s="1123"/>
      <c r="F11" s="1123"/>
      <c r="G11" s="1183"/>
    </row>
    <row r="12" spans="1:9" ht="12" customHeight="1">
      <c r="A12" s="1111">
        <v>13</v>
      </c>
      <c r="B12" s="1109">
        <v>780</v>
      </c>
      <c r="C12" s="163" t="s">
        <v>34</v>
      </c>
      <c r="D12" s="1107">
        <v>0</v>
      </c>
      <c r="E12" s="164" t="s">
        <v>34</v>
      </c>
      <c r="F12" s="164" t="s">
        <v>34</v>
      </c>
      <c r="G12" s="1183"/>
    </row>
    <row r="13" spans="1:9" ht="12" customHeight="1">
      <c r="A13" s="1111"/>
      <c r="B13" s="1109"/>
      <c r="C13" s="1109">
        <f>B14-B12</f>
        <v>2.4</v>
      </c>
      <c r="D13" s="1107"/>
      <c r="E13" s="1107">
        <f>SUM(0.5*D12,0.5*D14)</f>
        <v>0.81</v>
      </c>
      <c r="F13" s="1107">
        <f>PRODUCT(C13,E13)</f>
        <v>1.94</v>
      </c>
      <c r="G13" s="1183"/>
    </row>
    <row r="14" spans="1:9" ht="12" customHeight="1">
      <c r="A14" s="1111"/>
      <c r="B14" s="1109">
        <v>782.4</v>
      </c>
      <c r="C14" s="1109"/>
      <c r="D14" s="1110">
        <v>1.62</v>
      </c>
      <c r="E14" s="1107"/>
      <c r="F14" s="1107"/>
      <c r="G14" s="1183"/>
    </row>
    <row r="15" spans="1:9" ht="12" customHeight="1">
      <c r="A15" s="1111"/>
      <c r="B15" s="1109"/>
      <c r="C15" s="1109">
        <f>B16-B14</f>
        <v>28.9</v>
      </c>
      <c r="D15" s="1133"/>
      <c r="E15" s="1107">
        <f>SUM(0.5*D14,0.5*D16)</f>
        <v>1.62</v>
      </c>
      <c r="F15" s="1107">
        <f>PRODUCT(C15,E15)</f>
        <v>46.82</v>
      </c>
      <c r="G15" s="1183"/>
    </row>
    <row r="16" spans="1:9" ht="12" customHeight="1">
      <c r="A16" s="1111"/>
      <c r="B16" s="1109">
        <v>811.3</v>
      </c>
      <c r="C16" s="1109"/>
      <c r="D16" s="1107">
        <v>1.62</v>
      </c>
      <c r="E16" s="1107"/>
      <c r="F16" s="1107"/>
      <c r="G16" s="1183"/>
    </row>
    <row r="17" spans="1:7" ht="12" customHeight="1">
      <c r="A17" s="1111"/>
      <c r="B17" s="1109"/>
      <c r="C17" s="1109">
        <f>B18-B16</f>
        <v>18.7</v>
      </c>
      <c r="D17" s="1107"/>
      <c r="E17" s="1107">
        <f>SUM(0.5*D16,0.5*D18)</f>
        <v>1.62</v>
      </c>
      <c r="F17" s="1107">
        <f>PRODUCT(C17,E17)</f>
        <v>30.29</v>
      </c>
      <c r="G17" s="1183"/>
    </row>
    <row r="18" spans="1:7" ht="12" customHeight="1">
      <c r="A18" s="1111"/>
      <c r="B18" s="1109">
        <v>830</v>
      </c>
      <c r="C18" s="1109"/>
      <c r="D18" s="1107">
        <v>1.62</v>
      </c>
      <c r="E18" s="1107"/>
      <c r="F18" s="1107"/>
      <c r="G18" s="1183"/>
    </row>
    <row r="19" spans="1:7" ht="12" customHeight="1">
      <c r="A19" s="1111"/>
      <c r="B19" s="1109"/>
      <c r="C19" s="1109">
        <f>B20-B18</f>
        <v>31.6</v>
      </c>
      <c r="D19" s="1107"/>
      <c r="E19" s="1107">
        <f>SUM(0.5*D18,0.5*D20)</f>
        <v>1.62</v>
      </c>
      <c r="F19" s="1107">
        <f>PRODUCT(C19,E19)</f>
        <v>51.19</v>
      </c>
      <c r="G19" s="1183"/>
    </row>
    <row r="20" spans="1:7" ht="12" customHeight="1">
      <c r="A20" s="1111"/>
      <c r="B20" s="1109">
        <v>861.6</v>
      </c>
      <c r="C20" s="1109"/>
      <c r="D20" s="1107">
        <v>1.62</v>
      </c>
      <c r="E20" s="1107"/>
      <c r="F20" s="1107"/>
      <c r="G20" s="1183"/>
    </row>
    <row r="21" spans="1:7" ht="12" customHeight="1">
      <c r="A21" s="1111"/>
      <c r="B21" s="1109"/>
      <c r="C21" s="1109">
        <f>B22-B20</f>
        <v>18.399999999999999</v>
      </c>
      <c r="D21" s="1107"/>
      <c r="E21" s="1107">
        <f>SUM(0.5*D20,0.5*D22)</f>
        <v>1.62</v>
      </c>
      <c r="F21" s="1107">
        <f>PRODUCT(C21,E21)</f>
        <v>29.81</v>
      </c>
      <c r="G21" s="1183"/>
    </row>
    <row r="22" spans="1:7" ht="12" customHeight="1">
      <c r="A22" s="1111"/>
      <c r="B22" s="1109">
        <v>880</v>
      </c>
      <c r="C22" s="1109"/>
      <c r="D22" s="1107">
        <v>1.62</v>
      </c>
      <c r="E22" s="1107"/>
      <c r="F22" s="1107"/>
      <c r="G22" s="1183"/>
    </row>
    <row r="23" spans="1:7" ht="12" customHeight="1">
      <c r="A23" s="1111"/>
      <c r="B23" s="1109"/>
      <c r="C23" s="1109">
        <f>B24-B22</f>
        <v>23.7</v>
      </c>
      <c r="D23" s="1107"/>
      <c r="E23" s="1107">
        <f>SUM(0.5*D22,0.5*D24)</f>
        <v>1.62</v>
      </c>
      <c r="F23" s="1107">
        <f>PRODUCT(C23,E23)</f>
        <v>38.39</v>
      </c>
      <c r="G23" s="1183"/>
    </row>
    <row r="24" spans="1:7" ht="12" customHeight="1">
      <c r="A24" s="1111"/>
      <c r="B24" s="1109">
        <v>903.7</v>
      </c>
      <c r="C24" s="1109"/>
      <c r="D24" s="1107">
        <v>1.62</v>
      </c>
      <c r="E24" s="1107"/>
      <c r="F24" s="1107"/>
      <c r="G24" s="1183"/>
    </row>
    <row r="25" spans="1:7" ht="12" customHeight="1">
      <c r="A25" s="1111"/>
      <c r="B25" s="1109"/>
      <c r="C25" s="1109">
        <f>B26-B24</f>
        <v>34.299999999999997</v>
      </c>
      <c r="D25" s="1107"/>
      <c r="E25" s="1107">
        <f>SUM(0.5*D24,0.5*D26)</f>
        <v>1.62</v>
      </c>
      <c r="F25" s="1107">
        <f>PRODUCT(C25,E25)</f>
        <v>55.57</v>
      </c>
      <c r="G25" s="1183"/>
    </row>
    <row r="26" spans="1:7" ht="12" customHeight="1">
      <c r="A26" s="1111"/>
      <c r="B26" s="1109">
        <v>938</v>
      </c>
      <c r="C26" s="1109"/>
      <c r="D26" s="1107">
        <v>1.62</v>
      </c>
      <c r="E26" s="1107"/>
      <c r="F26" s="1107"/>
      <c r="G26" s="1183"/>
    </row>
    <row r="27" spans="1:7" ht="12" customHeight="1">
      <c r="A27" s="1111"/>
      <c r="B27" s="1109"/>
      <c r="C27" s="163" t="s">
        <v>34</v>
      </c>
      <c r="D27" s="1107"/>
      <c r="E27" s="164" t="s">
        <v>34</v>
      </c>
      <c r="F27" s="164" t="s">
        <v>34</v>
      </c>
      <c r="G27" s="1183"/>
    </row>
    <row r="28" spans="1:7" ht="12" customHeight="1">
      <c r="A28" s="212"/>
      <c r="B28" s="213"/>
      <c r="C28" s="213"/>
      <c r="D28" s="1112" t="s">
        <v>242</v>
      </c>
      <c r="E28" s="1112"/>
      <c r="F28" s="1113">
        <f>SUM(F13:F26)</f>
        <v>254.01</v>
      </c>
      <c r="G28" s="1148"/>
    </row>
    <row r="29" spans="1:7" ht="12" customHeight="1">
      <c r="A29" s="212"/>
      <c r="B29" s="213"/>
      <c r="C29" s="213"/>
      <c r="D29" s="1112"/>
      <c r="E29" s="1112"/>
      <c r="F29" s="1113"/>
      <c r="G29" s="1148"/>
    </row>
    <row r="30" spans="1:7" ht="12" customHeight="1">
      <c r="A30" s="212"/>
      <c r="B30" s="213"/>
      <c r="C30" s="213"/>
      <c r="D30" s="1112" t="s">
        <v>243</v>
      </c>
      <c r="E30" s="1112"/>
      <c r="F30" s="1113">
        <f>14.01+11.51+9.1</f>
        <v>34.619999999999997</v>
      </c>
      <c r="G30" s="1148"/>
    </row>
    <row r="31" spans="1:7" ht="12" customHeight="1">
      <c r="A31" s="212"/>
      <c r="B31" s="213"/>
      <c r="C31" s="213"/>
      <c r="D31" s="1112"/>
      <c r="E31" s="1112"/>
      <c r="F31" s="1113"/>
      <c r="G31" s="1148"/>
    </row>
    <row r="32" spans="1:7" ht="12" customHeight="1">
      <c r="A32" s="212"/>
      <c r="B32" s="213"/>
      <c r="C32" s="213"/>
      <c r="D32" s="1112" t="s">
        <v>340</v>
      </c>
      <c r="E32" s="1112"/>
      <c r="F32" s="1113">
        <f>F28+F30</f>
        <v>288.63</v>
      </c>
      <c r="G32" s="1148"/>
    </row>
    <row r="33" spans="1:10" ht="12" customHeight="1">
      <c r="A33" s="212"/>
      <c r="B33" s="213"/>
      <c r="C33" s="213"/>
      <c r="D33" s="1112"/>
      <c r="E33" s="1112"/>
      <c r="F33" s="1113"/>
      <c r="G33" s="1148"/>
    </row>
    <row r="34" spans="1:10" ht="12" customHeight="1">
      <c r="A34" s="212"/>
      <c r="B34" s="213"/>
      <c r="C34" s="213"/>
      <c r="D34" s="214"/>
      <c r="E34" s="214"/>
      <c r="F34" s="214"/>
      <c r="G34" s="1148"/>
    </row>
    <row r="35" spans="1:10" ht="12" customHeight="1">
      <c r="A35" s="1120" t="s">
        <v>241</v>
      </c>
      <c r="B35" s="1121"/>
      <c r="C35" s="1121"/>
      <c r="D35" s="1121"/>
      <c r="E35" s="1121"/>
      <c r="F35" s="1122"/>
      <c r="G35" s="1183"/>
    </row>
    <row r="36" spans="1:10" ht="12" customHeight="1">
      <c r="A36" s="1123" t="s">
        <v>234</v>
      </c>
      <c r="B36" s="1123" t="s">
        <v>235</v>
      </c>
      <c r="C36" s="1123" t="s">
        <v>236</v>
      </c>
      <c r="D36" s="1125" t="s">
        <v>293</v>
      </c>
      <c r="E36" s="1125"/>
      <c r="F36" s="1125"/>
      <c r="J36" s="169"/>
    </row>
    <row r="37" spans="1:10" ht="12" customHeight="1">
      <c r="A37" s="1124"/>
      <c r="B37" s="1124"/>
      <c r="C37" s="1123"/>
      <c r="D37" s="1123" t="s">
        <v>238</v>
      </c>
      <c r="E37" s="1123" t="s">
        <v>239</v>
      </c>
      <c r="F37" s="1123" t="s">
        <v>240</v>
      </c>
      <c r="J37" s="169"/>
    </row>
    <row r="38" spans="1:10" ht="12" customHeight="1">
      <c r="A38" s="1124"/>
      <c r="B38" s="1124"/>
      <c r="C38" s="1123"/>
      <c r="D38" s="1123"/>
      <c r="E38" s="1123"/>
      <c r="F38" s="1123"/>
      <c r="H38" s="169"/>
    </row>
    <row r="39" spans="1:10" ht="12" customHeight="1">
      <c r="A39" s="1124"/>
      <c r="B39" s="1124"/>
      <c r="C39" s="1123"/>
      <c r="D39" s="1123"/>
      <c r="E39" s="1123"/>
      <c r="F39" s="1123"/>
    </row>
    <row r="40" spans="1:10">
      <c r="A40" s="1111">
        <v>0</v>
      </c>
      <c r="B40" s="1132">
        <v>12</v>
      </c>
      <c r="C40" s="165" t="s">
        <v>34</v>
      </c>
      <c r="D40" s="1133">
        <v>1.62</v>
      </c>
      <c r="E40" s="166" t="s">
        <v>34</v>
      </c>
      <c r="F40" s="166" t="s">
        <v>34</v>
      </c>
    </row>
    <row r="41" spans="1:10">
      <c r="A41" s="1111"/>
      <c r="B41" s="1109"/>
      <c r="C41" s="1109">
        <f>B42-B40</f>
        <v>5.7</v>
      </c>
      <c r="D41" s="1110"/>
      <c r="E41" s="1107">
        <f>SUM(0.5*D40,0.5*D42)</f>
        <v>1.62</v>
      </c>
      <c r="F41" s="1107">
        <f>PRODUCT(C41,E41)</f>
        <v>9.23</v>
      </c>
    </row>
    <row r="42" spans="1:10">
      <c r="A42" s="1111"/>
      <c r="B42" s="1109">
        <v>17.7</v>
      </c>
      <c r="C42" s="1109"/>
      <c r="D42" s="1107">
        <v>1.62</v>
      </c>
      <c r="E42" s="1107"/>
      <c r="F42" s="1107"/>
    </row>
    <row r="43" spans="1:10">
      <c r="A43" s="1111"/>
      <c r="B43" s="1109"/>
      <c r="C43" s="1114">
        <f>B44-B42</f>
        <v>17.3</v>
      </c>
      <c r="D43" s="1110"/>
      <c r="E43" s="1107">
        <f>SUM(0.5*D42,0.5*D44)</f>
        <v>1.62</v>
      </c>
      <c r="F43" s="1107">
        <f>PRODUCT(C43,E43)</f>
        <v>28.03</v>
      </c>
    </row>
    <row r="44" spans="1:10">
      <c r="A44" s="1111"/>
      <c r="B44" s="1109">
        <v>35</v>
      </c>
      <c r="C44" s="1115"/>
      <c r="D44" s="1107">
        <v>1.62</v>
      </c>
      <c r="E44" s="1107"/>
      <c r="F44" s="1107"/>
    </row>
    <row r="45" spans="1:10">
      <c r="A45" s="1111"/>
      <c r="B45" s="1109"/>
      <c r="C45" s="1114">
        <f>B46-B44</f>
        <v>17</v>
      </c>
      <c r="D45" s="1110"/>
      <c r="E45" s="1107">
        <f>SUM(0.5*D44,0.5*D46)</f>
        <v>0.81</v>
      </c>
      <c r="F45" s="1107">
        <f>PRODUCT(C45,E45)</f>
        <v>13.77</v>
      </c>
    </row>
    <row r="46" spans="1:10">
      <c r="A46" s="1111"/>
      <c r="B46" s="1109">
        <v>52</v>
      </c>
      <c r="C46" s="1115"/>
      <c r="D46" s="1107">
        <v>0</v>
      </c>
      <c r="E46" s="1107"/>
      <c r="F46" s="1107"/>
    </row>
    <row r="47" spans="1:10">
      <c r="A47" s="1111"/>
      <c r="B47" s="1109"/>
      <c r="C47" s="163" t="s">
        <v>34</v>
      </c>
      <c r="D47" s="1110"/>
      <c r="E47" s="205" t="s">
        <v>34</v>
      </c>
      <c r="F47" s="205" t="s">
        <v>34</v>
      </c>
    </row>
    <row r="48" spans="1:10">
      <c r="D48" s="1112" t="s">
        <v>242</v>
      </c>
      <c r="E48" s="1112"/>
      <c r="F48" s="1113">
        <f>SUM(F41:F47)</f>
        <v>51.03</v>
      </c>
    </row>
    <row r="49" spans="3:6" ht="13.5" customHeight="1">
      <c r="C49" s="159"/>
      <c r="D49" s="1112"/>
      <c r="E49" s="1112"/>
      <c r="F49" s="1113"/>
    </row>
    <row r="50" spans="3:6">
      <c r="D50" s="1112" t="s">
        <v>243</v>
      </c>
      <c r="E50" s="1112"/>
      <c r="F50" s="1113">
        <f>6.5+18.56</f>
        <v>25.06</v>
      </c>
    </row>
    <row r="51" spans="3:6">
      <c r="D51" s="1112"/>
      <c r="E51" s="1112"/>
      <c r="F51" s="1113"/>
    </row>
    <row r="52" spans="3:6">
      <c r="D52" s="1112" t="s">
        <v>341</v>
      </c>
      <c r="E52" s="1112"/>
      <c r="F52" s="1113">
        <f>F48+F50</f>
        <v>76.09</v>
      </c>
    </row>
    <row r="53" spans="3:6">
      <c r="D53" s="1112"/>
      <c r="E53" s="1112"/>
      <c r="F53" s="1113"/>
    </row>
  </sheetData>
  <mergeCells count="97">
    <mergeCell ref="E1:G1"/>
    <mergeCell ref="H2:I2"/>
    <mergeCell ref="A3:F4"/>
    <mergeCell ref="A5:F6"/>
    <mergeCell ref="A7:F7"/>
    <mergeCell ref="A8:A11"/>
    <mergeCell ref="B8:B11"/>
    <mergeCell ref="C8:C11"/>
    <mergeCell ref="D8:F8"/>
    <mergeCell ref="D9:D11"/>
    <mergeCell ref="E9:E11"/>
    <mergeCell ref="F9:F11"/>
    <mergeCell ref="G11:G12"/>
    <mergeCell ref="A12:A27"/>
    <mergeCell ref="B12:B13"/>
    <mergeCell ref="D12:D13"/>
    <mergeCell ref="C13:C14"/>
    <mergeCell ref="E13:E14"/>
    <mergeCell ref="F13:F14"/>
    <mergeCell ref="G13:G14"/>
    <mergeCell ref="B14:B15"/>
    <mergeCell ref="D14:D15"/>
    <mergeCell ref="C15:C16"/>
    <mergeCell ref="E15:E16"/>
    <mergeCell ref="F15:F16"/>
    <mergeCell ref="G15:G16"/>
    <mergeCell ref="B16:B17"/>
    <mergeCell ref="D16:D17"/>
    <mergeCell ref="C17:C18"/>
    <mergeCell ref="E17:E18"/>
    <mergeCell ref="F17:F18"/>
    <mergeCell ref="G17:G18"/>
    <mergeCell ref="B18:B19"/>
    <mergeCell ref="D18:D19"/>
    <mergeCell ref="C19:C20"/>
    <mergeCell ref="E19:E20"/>
    <mergeCell ref="F19:F20"/>
    <mergeCell ref="G19:G20"/>
    <mergeCell ref="B20:B21"/>
    <mergeCell ref="D20:D21"/>
    <mergeCell ref="C21:C22"/>
    <mergeCell ref="E21:E22"/>
    <mergeCell ref="F21:F22"/>
    <mergeCell ref="G21:G22"/>
    <mergeCell ref="B22:B23"/>
    <mergeCell ref="D22:D23"/>
    <mergeCell ref="C23:C24"/>
    <mergeCell ref="E23:E24"/>
    <mergeCell ref="F23:F24"/>
    <mergeCell ref="G23:G24"/>
    <mergeCell ref="B24:B25"/>
    <mergeCell ref="D24:D25"/>
    <mergeCell ref="C25:C26"/>
    <mergeCell ref="E25:E26"/>
    <mergeCell ref="F25:F26"/>
    <mergeCell ref="G25:G26"/>
    <mergeCell ref="B26:B27"/>
    <mergeCell ref="D26:D27"/>
    <mergeCell ref="G27:G35"/>
    <mergeCell ref="A35:F35"/>
    <mergeCell ref="D28:E29"/>
    <mergeCell ref="F28:F29"/>
    <mergeCell ref="D30:E31"/>
    <mergeCell ref="F30:F31"/>
    <mergeCell ref="D32:E33"/>
    <mergeCell ref="A36:A39"/>
    <mergeCell ref="B36:B39"/>
    <mergeCell ref="C36:C39"/>
    <mergeCell ref="D36:F36"/>
    <mergeCell ref="D37:D39"/>
    <mergeCell ref="E37:E39"/>
    <mergeCell ref="F37:F39"/>
    <mergeCell ref="A40:A47"/>
    <mergeCell ref="B40:B41"/>
    <mergeCell ref="D40:D41"/>
    <mergeCell ref="C41:C42"/>
    <mergeCell ref="E41:E42"/>
    <mergeCell ref="D52:E53"/>
    <mergeCell ref="F52:F53"/>
    <mergeCell ref="F41:F42"/>
    <mergeCell ref="B42:B43"/>
    <mergeCell ref="D42:D43"/>
    <mergeCell ref="C43:C44"/>
    <mergeCell ref="E43:E44"/>
    <mergeCell ref="F43:F44"/>
    <mergeCell ref="B44:B45"/>
    <mergeCell ref="D44:D45"/>
    <mergeCell ref="C45:C46"/>
    <mergeCell ref="E45:E46"/>
    <mergeCell ref="F45:F46"/>
    <mergeCell ref="B46:B47"/>
    <mergeCell ref="D46:D47"/>
    <mergeCell ref="F32:F33"/>
    <mergeCell ref="D48:E49"/>
    <mergeCell ref="F48:F49"/>
    <mergeCell ref="D50:E51"/>
    <mergeCell ref="F50:F5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7" orientation="portrait" horizontalDpi="4294967294" verticalDpi="4294967294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view="pageBreakPreview" topLeftCell="A22" zoomScale="115" zoomScaleNormal="100" zoomScaleSheetLayoutView="115" workbookViewId="0">
      <selection activeCell="V104" sqref="V104"/>
    </sheetView>
  </sheetViews>
  <sheetFormatPr defaultRowHeight="12.75"/>
  <cols>
    <col min="4" max="4" width="11.5703125" customWidth="1"/>
    <col min="5" max="5" width="10.42578125" customWidth="1"/>
    <col min="6" max="6" width="10.5703125" customWidth="1"/>
  </cols>
  <sheetData>
    <row r="1" spans="1:9" ht="18.75" customHeight="1">
      <c r="E1" s="1184" t="s">
        <v>294</v>
      </c>
      <c r="F1" s="1184"/>
      <c r="G1" s="1184"/>
    </row>
    <row r="2" spans="1:9">
      <c r="H2" s="1185"/>
      <c r="I2" s="1185"/>
    </row>
    <row r="3" spans="1:9" ht="12.75" customHeight="1">
      <c r="A3" s="1186" t="s">
        <v>295</v>
      </c>
      <c r="B3" s="1186"/>
      <c r="C3" s="1186"/>
      <c r="D3" s="1186"/>
      <c r="E3" s="1186"/>
      <c r="F3" s="1186"/>
      <c r="G3" s="188"/>
      <c r="H3" s="188"/>
      <c r="I3" s="188"/>
    </row>
    <row r="4" spans="1:9" ht="30.75" customHeight="1">
      <c r="A4" s="1186"/>
      <c r="B4" s="1186"/>
      <c r="C4" s="1186"/>
      <c r="D4" s="1186"/>
      <c r="E4" s="1186"/>
      <c r="F4" s="1186"/>
      <c r="G4" s="188"/>
      <c r="H4" s="188"/>
      <c r="I4" s="188"/>
    </row>
    <row r="5" spans="1:9" ht="12.75" customHeight="1">
      <c r="A5" s="1119" t="s">
        <v>326</v>
      </c>
      <c r="B5" s="1119"/>
      <c r="C5" s="1119"/>
      <c r="D5" s="1119"/>
      <c r="E5" s="1119"/>
      <c r="F5" s="1119"/>
      <c r="G5" s="188"/>
      <c r="H5" s="188"/>
      <c r="I5" s="188"/>
    </row>
    <row r="6" spans="1:9" ht="69.75" customHeight="1">
      <c r="A6" s="1119"/>
      <c r="B6" s="1119"/>
      <c r="C6" s="1119"/>
      <c r="D6" s="1119"/>
      <c r="E6" s="1119"/>
      <c r="F6" s="1119"/>
      <c r="G6" s="161"/>
      <c r="H6" s="161"/>
      <c r="I6" s="161"/>
    </row>
    <row r="7" spans="1:9" ht="12.75" customHeight="1">
      <c r="A7" s="1120" t="s">
        <v>233</v>
      </c>
      <c r="B7" s="1121"/>
      <c r="C7" s="1121"/>
      <c r="D7" s="1121"/>
      <c r="E7" s="1121"/>
      <c r="F7" s="1122"/>
    </row>
    <row r="8" spans="1:9" ht="12.75" customHeight="1">
      <c r="A8" s="1123" t="s">
        <v>234</v>
      </c>
      <c r="B8" s="1123" t="s">
        <v>235</v>
      </c>
      <c r="C8" s="1123" t="s">
        <v>236</v>
      </c>
      <c r="D8" s="1125" t="s">
        <v>296</v>
      </c>
      <c r="E8" s="1125"/>
      <c r="F8" s="1125"/>
    </row>
    <row r="9" spans="1:9">
      <c r="A9" s="1124"/>
      <c r="B9" s="1124"/>
      <c r="C9" s="1123"/>
      <c r="D9" s="1123" t="s">
        <v>238</v>
      </c>
      <c r="E9" s="1123" t="s">
        <v>239</v>
      </c>
      <c r="F9" s="1123" t="s">
        <v>240</v>
      </c>
    </row>
    <row r="10" spans="1:9">
      <c r="A10" s="1124"/>
      <c r="B10" s="1124"/>
      <c r="C10" s="1123"/>
      <c r="D10" s="1123"/>
      <c r="E10" s="1123"/>
      <c r="F10" s="1123"/>
    </row>
    <row r="11" spans="1:9" ht="12" customHeight="1">
      <c r="A11" s="1124"/>
      <c r="B11" s="1124"/>
      <c r="C11" s="1123"/>
      <c r="D11" s="1123"/>
      <c r="E11" s="1123"/>
      <c r="F11" s="1123"/>
      <c r="G11" s="1183"/>
    </row>
    <row r="12" spans="1:9" ht="12" customHeight="1">
      <c r="A12" s="1111">
        <v>13</v>
      </c>
      <c r="B12" s="1109">
        <v>780</v>
      </c>
      <c r="C12" s="163" t="s">
        <v>34</v>
      </c>
      <c r="D12" s="1107">
        <v>0</v>
      </c>
      <c r="E12" s="164" t="s">
        <v>34</v>
      </c>
      <c r="F12" s="164" t="s">
        <v>34</v>
      </c>
      <c r="G12" s="1183"/>
    </row>
    <row r="13" spans="1:9" ht="12" customHeight="1">
      <c r="A13" s="1111"/>
      <c r="B13" s="1109"/>
      <c r="C13" s="1109">
        <f>B14-B12</f>
        <v>2.4</v>
      </c>
      <c r="D13" s="1107"/>
      <c r="E13" s="1107">
        <f>SUM(0.5*D12,0.5*D14)</f>
        <v>0.68</v>
      </c>
      <c r="F13" s="1107">
        <f>PRODUCT(C13,E13)</f>
        <v>1.63</v>
      </c>
      <c r="G13" s="1183"/>
    </row>
    <row r="14" spans="1:9" ht="12" customHeight="1">
      <c r="A14" s="1111"/>
      <c r="B14" s="1109">
        <v>782.4</v>
      </c>
      <c r="C14" s="1109"/>
      <c r="D14" s="1110">
        <v>1.35</v>
      </c>
      <c r="E14" s="1107"/>
      <c r="F14" s="1107"/>
      <c r="G14" s="1183"/>
    </row>
    <row r="15" spans="1:9" ht="12" customHeight="1">
      <c r="A15" s="1111"/>
      <c r="B15" s="1109"/>
      <c r="C15" s="1109">
        <f>B16-B14</f>
        <v>28.9</v>
      </c>
      <c r="D15" s="1133"/>
      <c r="E15" s="1107">
        <f>SUM(0.5*D14,0.5*D16)</f>
        <v>1.35</v>
      </c>
      <c r="F15" s="1107">
        <f>PRODUCT(C15,E15)</f>
        <v>39.020000000000003</v>
      </c>
      <c r="G15" s="1183"/>
    </row>
    <row r="16" spans="1:9" ht="12" customHeight="1">
      <c r="A16" s="1111"/>
      <c r="B16" s="1109">
        <v>811.3</v>
      </c>
      <c r="C16" s="1109"/>
      <c r="D16" s="1107">
        <v>1.35</v>
      </c>
      <c r="E16" s="1107"/>
      <c r="F16" s="1107"/>
      <c r="G16" s="1183"/>
    </row>
    <row r="17" spans="1:10" ht="12" customHeight="1">
      <c r="A17" s="1111"/>
      <c r="B17" s="1109"/>
      <c r="C17" s="1109">
        <f>B18-B16</f>
        <v>18.7</v>
      </c>
      <c r="D17" s="1107"/>
      <c r="E17" s="1107">
        <f>SUM(0.5*D16,0.5*D18)</f>
        <v>1.35</v>
      </c>
      <c r="F17" s="1107">
        <f>PRODUCT(C17,E17)</f>
        <v>25.25</v>
      </c>
      <c r="G17" s="1183"/>
    </row>
    <row r="18" spans="1:10" ht="12" customHeight="1">
      <c r="A18" s="1111"/>
      <c r="B18" s="1109">
        <v>830</v>
      </c>
      <c r="C18" s="1109"/>
      <c r="D18" s="1107">
        <v>1.35</v>
      </c>
      <c r="E18" s="1107"/>
      <c r="F18" s="1107"/>
      <c r="G18" s="1183"/>
    </row>
    <row r="19" spans="1:10" ht="12" customHeight="1">
      <c r="A19" s="1111"/>
      <c r="B19" s="1109"/>
      <c r="C19" s="1109">
        <f>B20-B18</f>
        <v>31.6</v>
      </c>
      <c r="D19" s="1107"/>
      <c r="E19" s="1107">
        <f>SUM(0.5*D18,0.5*D20)</f>
        <v>1.35</v>
      </c>
      <c r="F19" s="1107">
        <f>PRODUCT(C19,E19)</f>
        <v>42.66</v>
      </c>
      <c r="G19" s="1183"/>
    </row>
    <row r="20" spans="1:10" ht="12" customHeight="1">
      <c r="A20" s="1111"/>
      <c r="B20" s="1109">
        <v>861.6</v>
      </c>
      <c r="C20" s="1109"/>
      <c r="D20" s="1107">
        <v>1.35</v>
      </c>
      <c r="E20" s="1107"/>
      <c r="F20" s="1107"/>
      <c r="G20" s="1183"/>
    </row>
    <row r="21" spans="1:10" ht="12" customHeight="1">
      <c r="A21" s="1111"/>
      <c r="B21" s="1109"/>
      <c r="C21" s="1109">
        <f>B22-B20</f>
        <v>18.399999999999999</v>
      </c>
      <c r="D21" s="1107"/>
      <c r="E21" s="1107">
        <f>SUM(0.5*D20,0.5*D22)</f>
        <v>1.35</v>
      </c>
      <c r="F21" s="1107">
        <f>PRODUCT(C21,E21)</f>
        <v>24.84</v>
      </c>
      <c r="G21" s="1183"/>
    </row>
    <row r="22" spans="1:10" ht="12" customHeight="1">
      <c r="A22" s="1111"/>
      <c r="B22" s="1109">
        <v>880</v>
      </c>
      <c r="C22" s="1109"/>
      <c r="D22" s="1107">
        <v>1.35</v>
      </c>
      <c r="E22" s="1107"/>
      <c r="F22" s="1107"/>
      <c r="G22" s="1183"/>
    </row>
    <row r="23" spans="1:10" ht="12" customHeight="1">
      <c r="A23" s="1111"/>
      <c r="B23" s="1109"/>
      <c r="C23" s="1109">
        <f>B24-B22</f>
        <v>23.7</v>
      </c>
      <c r="D23" s="1107"/>
      <c r="E23" s="1107">
        <f>SUM(0.5*D22,0.5*D24)</f>
        <v>1.35</v>
      </c>
      <c r="F23" s="1107">
        <f>PRODUCT(C23,E23)</f>
        <v>32</v>
      </c>
      <c r="G23" s="1183"/>
    </row>
    <row r="24" spans="1:10" ht="12" customHeight="1">
      <c r="A24" s="1111"/>
      <c r="B24" s="1109">
        <v>903.7</v>
      </c>
      <c r="C24" s="1109"/>
      <c r="D24" s="1107">
        <v>1.35</v>
      </c>
      <c r="E24" s="1107"/>
      <c r="F24" s="1107"/>
      <c r="G24" s="1183"/>
    </row>
    <row r="25" spans="1:10" ht="12" customHeight="1">
      <c r="A25" s="1111"/>
      <c r="B25" s="1109"/>
      <c r="C25" s="1109">
        <f>B26-B24</f>
        <v>34.299999999999997</v>
      </c>
      <c r="D25" s="1107"/>
      <c r="E25" s="1107">
        <f>SUM(0.5*D24,0.5*D26)</f>
        <v>1.78</v>
      </c>
      <c r="F25" s="1107">
        <f>PRODUCT(C25,E25)</f>
        <v>61.05</v>
      </c>
      <c r="G25" s="1183"/>
    </row>
    <row r="26" spans="1:10" ht="12" customHeight="1">
      <c r="A26" s="1111"/>
      <c r="B26" s="1109">
        <v>938</v>
      </c>
      <c r="C26" s="1109"/>
      <c r="D26" s="1107">
        <v>2.2000000000000002</v>
      </c>
      <c r="E26" s="1107"/>
      <c r="F26" s="1107"/>
      <c r="G26" s="1183"/>
    </row>
    <row r="27" spans="1:10" ht="12" customHeight="1">
      <c r="A27" s="1111"/>
      <c r="B27" s="1109"/>
      <c r="C27" s="163" t="s">
        <v>34</v>
      </c>
      <c r="D27" s="1110"/>
      <c r="E27" s="205" t="s">
        <v>34</v>
      </c>
      <c r="F27" s="205" t="s">
        <v>34</v>
      </c>
      <c r="G27" s="1183"/>
    </row>
    <row r="28" spans="1:10" ht="12" customHeight="1">
      <c r="A28" s="209"/>
      <c r="B28" s="211"/>
      <c r="C28" s="211"/>
      <c r="D28" s="1112" t="s">
        <v>242</v>
      </c>
      <c r="E28" s="1112"/>
      <c r="F28" s="1113">
        <f>SUM(F13:F26)</f>
        <v>226.45</v>
      </c>
      <c r="G28" s="1148"/>
    </row>
    <row r="29" spans="1:10" ht="12" customHeight="1">
      <c r="A29" s="212"/>
      <c r="B29" s="213"/>
      <c r="C29" s="213"/>
      <c r="D29" s="1112"/>
      <c r="E29" s="1112"/>
      <c r="F29" s="1113"/>
      <c r="G29" s="1148"/>
    </row>
    <row r="30" spans="1:10" ht="12" customHeight="1">
      <c r="A30" s="224"/>
      <c r="B30" s="220"/>
      <c r="C30" s="220"/>
      <c r="D30" s="215"/>
      <c r="E30" s="215"/>
      <c r="F30" s="216"/>
      <c r="G30" s="1183"/>
    </row>
    <row r="31" spans="1:10" ht="12" customHeight="1">
      <c r="A31" s="1120" t="s">
        <v>241</v>
      </c>
      <c r="B31" s="1121"/>
      <c r="C31" s="1121"/>
      <c r="D31" s="1121"/>
      <c r="E31" s="1121"/>
      <c r="F31" s="1122"/>
      <c r="G31" s="1183"/>
    </row>
    <row r="32" spans="1:10" ht="12" customHeight="1">
      <c r="A32" s="1123" t="s">
        <v>234</v>
      </c>
      <c r="B32" s="1123" t="s">
        <v>235</v>
      </c>
      <c r="C32" s="1123" t="s">
        <v>236</v>
      </c>
      <c r="D32" s="1125" t="s">
        <v>296</v>
      </c>
      <c r="E32" s="1125"/>
      <c r="F32" s="1125"/>
      <c r="J32" s="169"/>
    </row>
    <row r="33" spans="1:10" ht="12" customHeight="1">
      <c r="A33" s="1124"/>
      <c r="B33" s="1124"/>
      <c r="C33" s="1123"/>
      <c r="D33" s="1123" t="s">
        <v>238</v>
      </c>
      <c r="E33" s="1123" t="s">
        <v>239</v>
      </c>
      <c r="F33" s="1123" t="s">
        <v>240</v>
      </c>
      <c r="J33" s="169"/>
    </row>
    <row r="34" spans="1:10" ht="12" customHeight="1">
      <c r="A34" s="1124"/>
      <c r="B34" s="1124"/>
      <c r="C34" s="1123"/>
      <c r="D34" s="1123"/>
      <c r="E34" s="1123"/>
      <c r="F34" s="1123"/>
      <c r="H34" s="169"/>
    </row>
    <row r="35" spans="1:10" ht="12" customHeight="1">
      <c r="A35" s="1124"/>
      <c r="B35" s="1124"/>
      <c r="C35" s="1123"/>
      <c r="D35" s="1123"/>
      <c r="E35" s="1123"/>
      <c r="F35" s="1123"/>
    </row>
    <row r="36" spans="1:10">
      <c r="A36" s="1111">
        <v>0</v>
      </c>
      <c r="B36" s="1132">
        <v>12</v>
      </c>
      <c r="C36" s="165" t="s">
        <v>34</v>
      </c>
      <c r="D36" s="1133">
        <v>2</v>
      </c>
      <c r="E36" s="166" t="s">
        <v>34</v>
      </c>
      <c r="F36" s="166" t="s">
        <v>34</v>
      </c>
    </row>
    <row r="37" spans="1:10">
      <c r="A37" s="1111"/>
      <c r="B37" s="1109"/>
      <c r="C37" s="1109">
        <f>B38-B36</f>
        <v>5.7</v>
      </c>
      <c r="D37" s="1110"/>
      <c r="E37" s="1107">
        <f>SUM(0.5*D36,0.5*D38)</f>
        <v>1.45</v>
      </c>
      <c r="F37" s="1107">
        <f>PRODUCT(C37,E37)</f>
        <v>8.27</v>
      </c>
    </row>
    <row r="38" spans="1:10">
      <c r="A38" s="1111"/>
      <c r="B38" s="1109">
        <v>17.7</v>
      </c>
      <c r="C38" s="1109"/>
      <c r="D38" s="1107">
        <v>0.9</v>
      </c>
      <c r="E38" s="1107"/>
      <c r="F38" s="1107"/>
    </row>
    <row r="39" spans="1:10">
      <c r="A39" s="1111"/>
      <c r="B39" s="1109"/>
      <c r="C39" s="1114">
        <f>B40-B38</f>
        <v>17.3</v>
      </c>
      <c r="D39" s="1110"/>
      <c r="E39" s="1107">
        <f>SUM(0.5*D38,0.5*D40)</f>
        <v>0.9</v>
      </c>
      <c r="F39" s="1107">
        <f>PRODUCT(C39,E39)</f>
        <v>15.57</v>
      </c>
    </row>
    <row r="40" spans="1:10">
      <c r="A40" s="1111"/>
      <c r="B40" s="1109">
        <v>35</v>
      </c>
      <c r="C40" s="1115"/>
      <c r="D40" s="1107">
        <v>0.9</v>
      </c>
      <c r="E40" s="1107"/>
      <c r="F40" s="1107"/>
    </row>
    <row r="41" spans="1:10">
      <c r="A41" s="1111"/>
      <c r="B41" s="1109"/>
      <c r="C41" s="1114">
        <f>B42-B40</f>
        <v>17</v>
      </c>
      <c r="D41" s="1110"/>
      <c r="E41" s="1107">
        <f>SUM(0.5*D40,0.5*D42)</f>
        <v>0.45</v>
      </c>
      <c r="F41" s="1107">
        <f>PRODUCT(C41,E41)</f>
        <v>7.65</v>
      </c>
    </row>
    <row r="42" spans="1:10">
      <c r="A42" s="1111"/>
      <c r="B42" s="1109">
        <v>52</v>
      </c>
      <c r="C42" s="1115"/>
      <c r="D42" s="1107">
        <v>0</v>
      </c>
      <c r="E42" s="1107"/>
      <c r="F42" s="1107"/>
    </row>
    <row r="43" spans="1:10" ht="13.5" thickBot="1">
      <c r="A43" s="1111"/>
      <c r="B43" s="1109"/>
      <c r="C43" s="163" t="s">
        <v>34</v>
      </c>
      <c r="D43" s="1107"/>
      <c r="E43" s="164" t="s">
        <v>34</v>
      </c>
      <c r="F43" s="164" t="s">
        <v>34</v>
      </c>
    </row>
    <row r="44" spans="1:10">
      <c r="D44" s="1187" t="s">
        <v>242</v>
      </c>
      <c r="E44" s="1188"/>
      <c r="F44" s="1191">
        <f>SUM(F37:F43)</f>
        <v>31.49</v>
      </c>
    </row>
    <row r="45" spans="1:10" ht="13.5" customHeight="1" thickBot="1">
      <c r="C45" s="159"/>
      <c r="D45" s="1189"/>
      <c r="E45" s="1190"/>
      <c r="F45" s="1192"/>
    </row>
  </sheetData>
  <mergeCells count="89">
    <mergeCell ref="E1:G1"/>
    <mergeCell ref="H2:I2"/>
    <mergeCell ref="A3:F4"/>
    <mergeCell ref="A5:F6"/>
    <mergeCell ref="A7:F7"/>
    <mergeCell ref="A8:A11"/>
    <mergeCell ref="B8:B11"/>
    <mergeCell ref="C8:C11"/>
    <mergeCell ref="D8:F8"/>
    <mergeCell ref="D9:D11"/>
    <mergeCell ref="E9:E11"/>
    <mergeCell ref="F9:F11"/>
    <mergeCell ref="G11:G12"/>
    <mergeCell ref="A12:A27"/>
    <mergeCell ref="B12:B13"/>
    <mergeCell ref="D12:D13"/>
    <mergeCell ref="C13:C14"/>
    <mergeCell ref="E13:E14"/>
    <mergeCell ref="F13:F14"/>
    <mergeCell ref="G13:G14"/>
    <mergeCell ref="B14:B15"/>
    <mergeCell ref="D14:D15"/>
    <mergeCell ref="C15:C16"/>
    <mergeCell ref="E15:E16"/>
    <mergeCell ref="F15:F16"/>
    <mergeCell ref="G15:G16"/>
    <mergeCell ref="B16:B17"/>
    <mergeCell ref="D16:D17"/>
    <mergeCell ref="G17:G18"/>
    <mergeCell ref="B18:B19"/>
    <mergeCell ref="D18:D19"/>
    <mergeCell ref="C19:C20"/>
    <mergeCell ref="E19:E20"/>
    <mergeCell ref="F19:F20"/>
    <mergeCell ref="G19:G20"/>
    <mergeCell ref="B20:B21"/>
    <mergeCell ref="D20:D21"/>
    <mergeCell ref="C21:C22"/>
    <mergeCell ref="E21:E22"/>
    <mergeCell ref="F21:F22"/>
    <mergeCell ref="G21:G22"/>
    <mergeCell ref="E23:E24"/>
    <mergeCell ref="F23:F24"/>
    <mergeCell ref="C17:C18"/>
    <mergeCell ref="E17:E18"/>
    <mergeCell ref="F17:F18"/>
    <mergeCell ref="G23:G24"/>
    <mergeCell ref="B24:B25"/>
    <mergeCell ref="D24:D25"/>
    <mergeCell ref="C25:C26"/>
    <mergeCell ref="E25:E26"/>
    <mergeCell ref="F25:F26"/>
    <mergeCell ref="G25:G26"/>
    <mergeCell ref="B26:B27"/>
    <mergeCell ref="D26:D27"/>
    <mergeCell ref="G27:G31"/>
    <mergeCell ref="A31:F31"/>
    <mergeCell ref="D28:E29"/>
    <mergeCell ref="F28:F29"/>
    <mergeCell ref="B22:B23"/>
    <mergeCell ref="D22:D23"/>
    <mergeCell ref="C23:C24"/>
    <mergeCell ref="A32:A35"/>
    <mergeCell ref="B32:B35"/>
    <mergeCell ref="C32:C35"/>
    <mergeCell ref="D32:F32"/>
    <mergeCell ref="D33:D35"/>
    <mergeCell ref="E33:E35"/>
    <mergeCell ref="F33:F35"/>
    <mergeCell ref="F37:F38"/>
    <mergeCell ref="B38:B39"/>
    <mergeCell ref="D38:D39"/>
    <mergeCell ref="C39:C40"/>
    <mergeCell ref="E39:E40"/>
    <mergeCell ref="A36:A43"/>
    <mergeCell ref="B36:B37"/>
    <mergeCell ref="D36:D37"/>
    <mergeCell ref="C37:C38"/>
    <mergeCell ref="E37:E38"/>
    <mergeCell ref="D44:E45"/>
    <mergeCell ref="F44:F45"/>
    <mergeCell ref="F39:F40"/>
    <mergeCell ref="B40:B41"/>
    <mergeCell ref="D40:D41"/>
    <mergeCell ref="C41:C42"/>
    <mergeCell ref="E41:E42"/>
    <mergeCell ref="F41:F42"/>
    <mergeCell ref="B42:B43"/>
    <mergeCell ref="D42:D43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4294967294" verticalDpi="4294967294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view="pageBreakPreview" zoomScale="115" zoomScaleNormal="100" zoomScaleSheetLayoutView="115" workbookViewId="0">
      <selection activeCell="V104" sqref="V104"/>
    </sheetView>
  </sheetViews>
  <sheetFormatPr defaultRowHeight="12.75"/>
  <cols>
    <col min="4" max="4" width="11.5703125" customWidth="1"/>
    <col min="5" max="5" width="11" customWidth="1"/>
    <col min="6" max="6" width="12" customWidth="1"/>
  </cols>
  <sheetData>
    <row r="1" spans="1:9" ht="18.75" customHeight="1">
      <c r="E1" s="1184" t="s">
        <v>297</v>
      </c>
      <c r="F1" s="1184"/>
      <c r="G1" s="1184"/>
    </row>
    <row r="2" spans="1:9">
      <c r="H2" s="1185"/>
      <c r="I2" s="1185"/>
    </row>
    <row r="3" spans="1:9" ht="12.75" customHeight="1">
      <c r="A3" s="1186" t="s">
        <v>298</v>
      </c>
      <c r="B3" s="1186"/>
      <c r="C3" s="1186"/>
      <c r="D3" s="1186"/>
      <c r="E3" s="1186"/>
      <c r="F3" s="1186"/>
      <c r="G3" s="188"/>
      <c r="H3" s="188"/>
      <c r="I3" s="188"/>
    </row>
    <row r="4" spans="1:9" ht="30.75" customHeight="1">
      <c r="A4" s="1186"/>
      <c r="B4" s="1186"/>
      <c r="C4" s="1186"/>
      <c r="D4" s="1186"/>
      <c r="E4" s="1186"/>
      <c r="F4" s="1186"/>
      <c r="G4" s="188"/>
      <c r="H4" s="188"/>
      <c r="I4" s="188"/>
    </row>
    <row r="5" spans="1:9" ht="12.75" customHeight="1">
      <c r="A5" s="1119" t="s">
        <v>326</v>
      </c>
      <c r="B5" s="1119"/>
      <c r="C5" s="1119"/>
      <c r="D5" s="1119"/>
      <c r="E5" s="1119"/>
      <c r="F5" s="1119"/>
      <c r="G5" s="188"/>
      <c r="H5" s="188"/>
      <c r="I5" s="188"/>
    </row>
    <row r="6" spans="1:9" ht="63.75" customHeight="1">
      <c r="A6" s="1119"/>
      <c r="B6" s="1119"/>
      <c r="C6" s="1119"/>
      <c r="D6" s="1119"/>
      <c r="E6" s="1119"/>
      <c r="F6" s="1119"/>
      <c r="G6" s="161"/>
      <c r="H6" s="161"/>
      <c r="I6" s="161"/>
    </row>
    <row r="7" spans="1:9" ht="12.75" customHeight="1">
      <c r="A7" s="1120" t="s">
        <v>233</v>
      </c>
      <c r="B7" s="1121"/>
      <c r="C7" s="1121"/>
      <c r="D7" s="1121"/>
      <c r="E7" s="1121"/>
      <c r="F7" s="1122"/>
    </row>
    <row r="8" spans="1:9" ht="12.75" customHeight="1">
      <c r="A8" s="1123" t="s">
        <v>234</v>
      </c>
      <c r="B8" s="1123" t="s">
        <v>235</v>
      </c>
      <c r="C8" s="1123" t="s">
        <v>236</v>
      </c>
      <c r="D8" s="1125" t="s">
        <v>299</v>
      </c>
      <c r="E8" s="1125"/>
      <c r="F8" s="1125"/>
    </row>
    <row r="9" spans="1:9">
      <c r="A9" s="1124"/>
      <c r="B9" s="1124"/>
      <c r="C9" s="1123"/>
      <c r="D9" s="1123" t="s">
        <v>238</v>
      </c>
      <c r="E9" s="1123" t="s">
        <v>239</v>
      </c>
      <c r="F9" s="1123" t="s">
        <v>240</v>
      </c>
    </row>
    <row r="10" spans="1:9">
      <c r="A10" s="1124"/>
      <c r="B10" s="1124"/>
      <c r="C10" s="1123"/>
      <c r="D10" s="1123"/>
      <c r="E10" s="1123"/>
      <c r="F10" s="1123"/>
    </row>
    <row r="11" spans="1:9" ht="12" customHeight="1">
      <c r="A11" s="1124"/>
      <c r="B11" s="1124"/>
      <c r="C11" s="1123"/>
      <c r="D11" s="1123"/>
      <c r="E11" s="1123"/>
      <c r="F11" s="1123"/>
      <c r="G11" s="1183"/>
    </row>
    <row r="12" spans="1:9" ht="12" customHeight="1">
      <c r="A12" s="1111">
        <v>13</v>
      </c>
      <c r="B12" s="1109">
        <v>780</v>
      </c>
      <c r="C12" s="163" t="s">
        <v>34</v>
      </c>
      <c r="D12" s="1107">
        <v>0</v>
      </c>
      <c r="E12" s="164" t="s">
        <v>34</v>
      </c>
      <c r="F12" s="164" t="s">
        <v>34</v>
      </c>
      <c r="G12" s="1183"/>
    </row>
    <row r="13" spans="1:9" ht="12" customHeight="1">
      <c r="A13" s="1111"/>
      <c r="B13" s="1109"/>
      <c r="C13" s="1109">
        <f>B14-B12</f>
        <v>2.4</v>
      </c>
      <c r="D13" s="1107"/>
      <c r="E13" s="1107">
        <f>SUM(0.5*D12,0.5*D14)</f>
        <v>0.71</v>
      </c>
      <c r="F13" s="1107">
        <f>PRODUCT(C13,E13)</f>
        <v>1.7</v>
      </c>
      <c r="G13" s="1183"/>
    </row>
    <row r="14" spans="1:9" ht="12" customHeight="1">
      <c r="A14" s="1111"/>
      <c r="B14" s="1109">
        <v>782.4</v>
      </c>
      <c r="C14" s="1109"/>
      <c r="D14" s="1110">
        <v>1.42</v>
      </c>
      <c r="E14" s="1107"/>
      <c r="F14" s="1107"/>
      <c r="G14" s="1183"/>
    </row>
    <row r="15" spans="1:9" ht="12" customHeight="1">
      <c r="A15" s="1111"/>
      <c r="B15" s="1109"/>
      <c r="C15" s="1109">
        <f>B16-B14</f>
        <v>28.9</v>
      </c>
      <c r="D15" s="1133"/>
      <c r="E15" s="1107">
        <f>SUM(0.5*D14,0.5*D16)</f>
        <v>1.42</v>
      </c>
      <c r="F15" s="1107">
        <f>PRODUCT(C15,E15)</f>
        <v>41.04</v>
      </c>
      <c r="G15" s="1183"/>
    </row>
    <row r="16" spans="1:9" ht="12" customHeight="1">
      <c r="A16" s="1111"/>
      <c r="B16" s="1109">
        <v>811.3</v>
      </c>
      <c r="C16" s="1109"/>
      <c r="D16" s="1110">
        <v>1.42</v>
      </c>
      <c r="E16" s="1107"/>
      <c r="F16" s="1107"/>
      <c r="G16" s="1183"/>
    </row>
    <row r="17" spans="1:10" ht="12" customHeight="1">
      <c r="A17" s="1111"/>
      <c r="B17" s="1109"/>
      <c r="C17" s="1109">
        <f>B18-B16</f>
        <v>18.7</v>
      </c>
      <c r="D17" s="1133"/>
      <c r="E17" s="1107">
        <f>SUM(0.5*D16,0.5*D18)</f>
        <v>1.42</v>
      </c>
      <c r="F17" s="1107">
        <f>PRODUCT(C17,E17)</f>
        <v>26.55</v>
      </c>
      <c r="G17" s="1183"/>
    </row>
    <row r="18" spans="1:10" ht="12" customHeight="1">
      <c r="A18" s="1111"/>
      <c r="B18" s="1109">
        <v>830</v>
      </c>
      <c r="C18" s="1109"/>
      <c r="D18" s="1110">
        <v>1.42</v>
      </c>
      <c r="E18" s="1107"/>
      <c r="F18" s="1107"/>
      <c r="G18" s="1183"/>
    </row>
    <row r="19" spans="1:10" ht="12" customHeight="1">
      <c r="A19" s="1111"/>
      <c r="B19" s="1109"/>
      <c r="C19" s="1109">
        <f>B20-B18</f>
        <v>31.6</v>
      </c>
      <c r="D19" s="1133"/>
      <c r="E19" s="1107">
        <f>SUM(0.5*D18,0.5*D20)</f>
        <v>1.42</v>
      </c>
      <c r="F19" s="1107">
        <f>PRODUCT(C19,E19)</f>
        <v>44.87</v>
      </c>
      <c r="G19" s="1183"/>
    </row>
    <row r="20" spans="1:10" ht="12" customHeight="1">
      <c r="A20" s="1111"/>
      <c r="B20" s="1109">
        <v>861.6</v>
      </c>
      <c r="C20" s="1109"/>
      <c r="D20" s="1110">
        <v>1.42</v>
      </c>
      <c r="E20" s="1107"/>
      <c r="F20" s="1107"/>
      <c r="G20" s="1183"/>
    </row>
    <row r="21" spans="1:10" ht="12" customHeight="1">
      <c r="A21" s="1111"/>
      <c r="B21" s="1109"/>
      <c r="C21" s="1109">
        <f>B22-B20</f>
        <v>18.399999999999999</v>
      </c>
      <c r="D21" s="1133"/>
      <c r="E21" s="1107">
        <f>SUM(0.5*D20,0.5*D22)</f>
        <v>1.42</v>
      </c>
      <c r="F21" s="1107">
        <f>PRODUCT(C21,E21)</f>
        <v>26.13</v>
      </c>
      <c r="G21" s="1183"/>
    </row>
    <row r="22" spans="1:10" ht="12" customHeight="1">
      <c r="A22" s="1111"/>
      <c r="B22" s="1109">
        <v>880</v>
      </c>
      <c r="C22" s="1109"/>
      <c r="D22" s="1110">
        <v>1.42</v>
      </c>
      <c r="E22" s="1107"/>
      <c r="F22" s="1107"/>
      <c r="G22" s="1183"/>
    </row>
    <row r="23" spans="1:10" ht="12" customHeight="1">
      <c r="A23" s="1111"/>
      <c r="B23" s="1109"/>
      <c r="C23" s="1109">
        <f>B24-B22</f>
        <v>23.7</v>
      </c>
      <c r="D23" s="1133"/>
      <c r="E23" s="1107">
        <f>SUM(0.5*D22,0.5*D24)</f>
        <v>1.42</v>
      </c>
      <c r="F23" s="1107">
        <f>PRODUCT(C23,E23)</f>
        <v>33.65</v>
      </c>
      <c r="G23" s="1183"/>
    </row>
    <row r="24" spans="1:10" ht="12" customHeight="1">
      <c r="A24" s="1111"/>
      <c r="B24" s="1109">
        <v>903.7</v>
      </c>
      <c r="C24" s="1109"/>
      <c r="D24" s="1110">
        <v>1.42</v>
      </c>
      <c r="E24" s="1107"/>
      <c r="F24" s="1107"/>
      <c r="G24" s="1183"/>
    </row>
    <row r="25" spans="1:10" ht="12" customHeight="1">
      <c r="A25" s="1111"/>
      <c r="B25" s="1109"/>
      <c r="C25" s="1109">
        <f>B26-B24</f>
        <v>34.299999999999997</v>
      </c>
      <c r="D25" s="1133"/>
      <c r="E25" s="1107">
        <f>SUM(0.5*D24,0.5*D26)</f>
        <v>1.94</v>
      </c>
      <c r="F25" s="1107">
        <f>PRODUCT(C25,E25)</f>
        <v>66.540000000000006</v>
      </c>
      <c r="G25" s="1183"/>
    </row>
    <row r="26" spans="1:10" ht="12" customHeight="1">
      <c r="A26" s="1111"/>
      <c r="B26" s="1109">
        <v>938</v>
      </c>
      <c r="C26" s="1109"/>
      <c r="D26" s="1107">
        <v>2.4500000000000002</v>
      </c>
      <c r="E26" s="1107"/>
      <c r="F26" s="1107"/>
      <c r="G26" s="1183"/>
    </row>
    <row r="27" spans="1:10" ht="12" customHeight="1">
      <c r="A27" s="1111"/>
      <c r="B27" s="1109"/>
      <c r="C27" s="163" t="s">
        <v>34</v>
      </c>
      <c r="D27" s="1110"/>
      <c r="E27" s="164" t="s">
        <v>34</v>
      </c>
      <c r="F27" s="164" t="s">
        <v>34</v>
      </c>
      <c r="G27" s="1183"/>
    </row>
    <row r="28" spans="1:10" ht="12" customHeight="1">
      <c r="A28" s="209"/>
      <c r="B28" s="211"/>
      <c r="C28" s="211"/>
      <c r="D28" s="1112" t="s">
        <v>242</v>
      </c>
      <c r="E28" s="1112"/>
      <c r="F28" s="1113">
        <f>SUM(F13:F26)</f>
        <v>240.48</v>
      </c>
      <c r="G28" s="1148"/>
    </row>
    <row r="29" spans="1:10" ht="12" customHeight="1">
      <c r="A29" s="212"/>
      <c r="B29" s="213"/>
      <c r="C29" s="213"/>
      <c r="D29" s="1112"/>
      <c r="E29" s="1112"/>
      <c r="F29" s="1113"/>
      <c r="G29" s="1148"/>
    </row>
    <row r="30" spans="1:10" ht="12" customHeight="1">
      <c r="A30" s="219"/>
      <c r="B30" s="220"/>
      <c r="C30" s="220"/>
      <c r="D30" s="221"/>
      <c r="E30" s="221"/>
      <c r="F30" s="221"/>
      <c r="G30" s="1148"/>
    </row>
    <row r="31" spans="1:10" ht="12" customHeight="1">
      <c r="A31" s="1120" t="s">
        <v>241</v>
      </c>
      <c r="B31" s="1121"/>
      <c r="C31" s="1121"/>
      <c r="D31" s="1121"/>
      <c r="E31" s="1121"/>
      <c r="F31" s="1122"/>
      <c r="G31" s="1183"/>
    </row>
    <row r="32" spans="1:10" ht="12" customHeight="1">
      <c r="A32" s="1123" t="s">
        <v>234</v>
      </c>
      <c r="B32" s="1123" t="s">
        <v>235</v>
      </c>
      <c r="C32" s="1123" t="s">
        <v>236</v>
      </c>
      <c r="D32" s="1125" t="s">
        <v>299</v>
      </c>
      <c r="E32" s="1125"/>
      <c r="F32" s="1125"/>
      <c r="J32" s="169"/>
    </row>
    <row r="33" spans="1:10" ht="12" customHeight="1">
      <c r="A33" s="1124"/>
      <c r="B33" s="1124"/>
      <c r="C33" s="1123"/>
      <c r="D33" s="1123" t="s">
        <v>238</v>
      </c>
      <c r="E33" s="1123" t="s">
        <v>239</v>
      </c>
      <c r="F33" s="1123" t="s">
        <v>240</v>
      </c>
      <c r="J33" s="169"/>
    </row>
    <row r="34" spans="1:10" ht="12" customHeight="1">
      <c r="A34" s="1124"/>
      <c r="B34" s="1124"/>
      <c r="C34" s="1123"/>
      <c r="D34" s="1123"/>
      <c r="E34" s="1123"/>
      <c r="F34" s="1123"/>
      <c r="H34" s="169"/>
    </row>
    <row r="35" spans="1:10" ht="12" customHeight="1">
      <c r="A35" s="1124"/>
      <c r="B35" s="1124"/>
      <c r="C35" s="1123"/>
      <c r="D35" s="1123"/>
      <c r="E35" s="1123"/>
      <c r="F35" s="1123"/>
    </row>
    <row r="36" spans="1:10">
      <c r="A36" s="1111">
        <v>0</v>
      </c>
      <c r="B36" s="1132">
        <v>12</v>
      </c>
      <c r="C36" s="165" t="s">
        <v>34</v>
      </c>
      <c r="D36" s="1133">
        <v>2.2000000000000002</v>
      </c>
      <c r="E36" s="166" t="s">
        <v>34</v>
      </c>
      <c r="F36" s="166" t="s">
        <v>34</v>
      </c>
    </row>
    <row r="37" spans="1:10">
      <c r="A37" s="1111"/>
      <c r="B37" s="1109"/>
      <c r="C37" s="1109">
        <f>B38-B36</f>
        <v>5.7</v>
      </c>
      <c r="D37" s="1110"/>
      <c r="E37" s="1107">
        <f>SUM(0.5*D36,0.5*D38)</f>
        <v>1.6</v>
      </c>
      <c r="F37" s="1107">
        <f>PRODUCT(C37,E37)</f>
        <v>9.1199999999999992</v>
      </c>
    </row>
    <row r="38" spans="1:10">
      <c r="A38" s="1111"/>
      <c r="B38" s="1109">
        <v>17.7</v>
      </c>
      <c r="C38" s="1109"/>
      <c r="D38" s="1107">
        <v>1</v>
      </c>
      <c r="E38" s="1107"/>
      <c r="F38" s="1107"/>
    </row>
    <row r="39" spans="1:10">
      <c r="A39" s="1111"/>
      <c r="B39" s="1109"/>
      <c r="C39" s="1114">
        <f>B40-B38</f>
        <v>17.3</v>
      </c>
      <c r="D39" s="1110"/>
      <c r="E39" s="1107">
        <f>SUM(0.5*D38,0.5*D40)</f>
        <v>1</v>
      </c>
      <c r="F39" s="1107">
        <f>PRODUCT(C39,E39)</f>
        <v>17.3</v>
      </c>
    </row>
    <row r="40" spans="1:10">
      <c r="A40" s="1111"/>
      <c r="B40" s="1109">
        <v>35</v>
      </c>
      <c r="C40" s="1115"/>
      <c r="D40" s="1107">
        <v>1</v>
      </c>
      <c r="E40" s="1107"/>
      <c r="F40" s="1107"/>
    </row>
    <row r="41" spans="1:10">
      <c r="A41" s="1111"/>
      <c r="B41" s="1109"/>
      <c r="C41" s="1114">
        <f>B42-B40</f>
        <v>17</v>
      </c>
      <c r="D41" s="1110"/>
      <c r="E41" s="1107">
        <f>SUM(0.5*D40,0.5*D42)</f>
        <v>0.5</v>
      </c>
      <c r="F41" s="1107">
        <f>PRODUCT(C41,E41)</f>
        <v>8.5</v>
      </c>
    </row>
    <row r="42" spans="1:10">
      <c r="A42" s="1111"/>
      <c r="B42" s="1109">
        <v>52</v>
      </c>
      <c r="C42" s="1115"/>
      <c r="D42" s="1107">
        <v>0</v>
      </c>
      <c r="E42" s="1107"/>
      <c r="F42" s="1107"/>
    </row>
    <row r="43" spans="1:10">
      <c r="A43" s="1111"/>
      <c r="B43" s="1109"/>
      <c r="C43" s="163" t="s">
        <v>34</v>
      </c>
      <c r="D43" s="1110"/>
      <c r="E43" s="205" t="s">
        <v>34</v>
      </c>
      <c r="F43" s="205" t="s">
        <v>34</v>
      </c>
    </row>
    <row r="44" spans="1:10">
      <c r="D44" s="1112" t="s">
        <v>242</v>
      </c>
      <c r="E44" s="1112"/>
      <c r="F44" s="1113">
        <f>SUM(F37:F43)</f>
        <v>34.92</v>
      </c>
    </row>
    <row r="45" spans="1:10" ht="13.5" customHeight="1">
      <c r="C45" s="159"/>
      <c r="D45" s="1112"/>
      <c r="E45" s="1112"/>
      <c r="F45" s="1113"/>
    </row>
  </sheetData>
  <mergeCells count="89">
    <mergeCell ref="E1:G1"/>
    <mergeCell ref="H2:I2"/>
    <mergeCell ref="A3:F4"/>
    <mergeCell ref="A5:F6"/>
    <mergeCell ref="A7:F7"/>
    <mergeCell ref="A8:A11"/>
    <mergeCell ref="B8:B11"/>
    <mergeCell ref="C8:C11"/>
    <mergeCell ref="D8:F8"/>
    <mergeCell ref="D9:D11"/>
    <mergeCell ref="E9:E11"/>
    <mergeCell ref="F9:F11"/>
    <mergeCell ref="G11:G12"/>
    <mergeCell ref="A12:A27"/>
    <mergeCell ref="B12:B13"/>
    <mergeCell ref="D12:D13"/>
    <mergeCell ref="C13:C14"/>
    <mergeCell ref="E13:E14"/>
    <mergeCell ref="F13:F14"/>
    <mergeCell ref="G13:G14"/>
    <mergeCell ref="B14:B15"/>
    <mergeCell ref="D14:D15"/>
    <mergeCell ref="C15:C16"/>
    <mergeCell ref="E15:E16"/>
    <mergeCell ref="F15:F16"/>
    <mergeCell ref="G15:G16"/>
    <mergeCell ref="B16:B17"/>
    <mergeCell ref="D16:D17"/>
    <mergeCell ref="G17:G18"/>
    <mergeCell ref="B18:B19"/>
    <mergeCell ref="D18:D19"/>
    <mergeCell ref="C19:C20"/>
    <mergeCell ref="E19:E20"/>
    <mergeCell ref="F19:F20"/>
    <mergeCell ref="G19:G20"/>
    <mergeCell ref="B20:B21"/>
    <mergeCell ref="D20:D21"/>
    <mergeCell ref="C21:C22"/>
    <mergeCell ref="E21:E22"/>
    <mergeCell ref="F21:F22"/>
    <mergeCell ref="G21:G22"/>
    <mergeCell ref="E23:E24"/>
    <mergeCell ref="F23:F24"/>
    <mergeCell ref="C17:C18"/>
    <mergeCell ref="E17:E18"/>
    <mergeCell ref="F17:F18"/>
    <mergeCell ref="G23:G24"/>
    <mergeCell ref="B24:B25"/>
    <mergeCell ref="D24:D25"/>
    <mergeCell ref="C25:C26"/>
    <mergeCell ref="E25:E26"/>
    <mergeCell ref="F25:F26"/>
    <mergeCell ref="G25:G26"/>
    <mergeCell ref="B26:B27"/>
    <mergeCell ref="D26:D27"/>
    <mergeCell ref="G27:G31"/>
    <mergeCell ref="A31:F31"/>
    <mergeCell ref="D28:E29"/>
    <mergeCell ref="F28:F29"/>
    <mergeCell ref="B22:B23"/>
    <mergeCell ref="D22:D23"/>
    <mergeCell ref="C23:C24"/>
    <mergeCell ref="A32:A35"/>
    <mergeCell ref="B32:B35"/>
    <mergeCell ref="C32:C35"/>
    <mergeCell ref="D32:F32"/>
    <mergeCell ref="D33:D35"/>
    <mergeCell ref="E33:E35"/>
    <mergeCell ref="F33:F35"/>
    <mergeCell ref="F37:F38"/>
    <mergeCell ref="B38:B39"/>
    <mergeCell ref="D38:D39"/>
    <mergeCell ref="C39:C40"/>
    <mergeCell ref="E39:E40"/>
    <mergeCell ref="A36:A43"/>
    <mergeCell ref="B36:B37"/>
    <mergeCell ref="D36:D37"/>
    <mergeCell ref="C37:C38"/>
    <mergeCell ref="E37:E38"/>
    <mergeCell ref="D44:E45"/>
    <mergeCell ref="F44:F45"/>
    <mergeCell ref="F39:F40"/>
    <mergeCell ref="B40:B41"/>
    <mergeCell ref="D40:D41"/>
    <mergeCell ref="C41:C42"/>
    <mergeCell ref="E41:E42"/>
    <mergeCell ref="F41:F42"/>
    <mergeCell ref="B42:B43"/>
    <mergeCell ref="D42:D43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4294967294" verticalDpi="4294967294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workbookViewId="0">
      <selection activeCell="A15" sqref="A15:H15"/>
    </sheetView>
  </sheetViews>
  <sheetFormatPr defaultRowHeight="12.75"/>
  <cols>
    <col min="1" max="1" width="14.5703125" bestFit="1" customWidth="1"/>
    <col min="2" max="2" width="14.5703125" customWidth="1"/>
    <col min="7" max="7" width="13" customWidth="1"/>
  </cols>
  <sheetData>
    <row r="3" spans="1:7">
      <c r="A3" t="s">
        <v>197</v>
      </c>
      <c r="C3" t="s">
        <v>699</v>
      </c>
      <c r="D3" t="s">
        <v>700</v>
      </c>
      <c r="E3" t="s">
        <v>696</v>
      </c>
      <c r="F3" t="s">
        <v>697</v>
      </c>
      <c r="G3" t="s">
        <v>698</v>
      </c>
    </row>
    <row r="4" spans="1:7">
      <c r="A4" t="s">
        <v>703</v>
      </c>
      <c r="C4">
        <v>262</v>
      </c>
      <c r="D4">
        <v>266.39999999999998</v>
      </c>
      <c r="E4">
        <f>D4-C4</f>
        <v>4.3999999999999799</v>
      </c>
      <c r="F4">
        <v>35.119999999999997</v>
      </c>
      <c r="G4">
        <f>E4/F4*100</f>
        <v>12.5284738041002</v>
      </c>
    </row>
    <row r="5" spans="1:7">
      <c r="C5">
        <v>266.39999999999998</v>
      </c>
      <c r="D5">
        <v>275.76</v>
      </c>
      <c r="E5">
        <f>D5-C5</f>
        <v>9.3600000000000101</v>
      </c>
      <c r="F5">
        <v>80</v>
      </c>
      <c r="G5">
        <f>E5/F5*100</f>
        <v>11.7</v>
      </c>
    </row>
    <row r="6" spans="1:7">
      <c r="C6">
        <v>289.88</v>
      </c>
      <c r="D6">
        <v>309.13</v>
      </c>
      <c r="E6">
        <f t="shared" ref="E6:E28" si="0">D6-C6</f>
        <v>19.25</v>
      </c>
      <c r="F6">
        <v>148</v>
      </c>
      <c r="G6">
        <f t="shared" ref="G6:G28" si="1">E6/F6*100</f>
        <v>13.006756756756801</v>
      </c>
    </row>
    <row r="7" spans="1:7">
      <c r="C7">
        <v>328.52</v>
      </c>
      <c r="D7">
        <v>331.55</v>
      </c>
      <c r="E7">
        <f t="shared" si="0"/>
        <v>3.03000000000003</v>
      </c>
      <c r="F7">
        <v>38</v>
      </c>
      <c r="G7">
        <f t="shared" si="1"/>
        <v>7.9736842105263896</v>
      </c>
    </row>
    <row r="8" spans="1:7">
      <c r="A8" t="s">
        <v>707</v>
      </c>
      <c r="C8">
        <v>331.55</v>
      </c>
      <c r="D8">
        <v>334.29</v>
      </c>
      <c r="E8">
        <f t="shared" si="0"/>
        <v>2.74000000000001</v>
      </c>
      <c r="F8">
        <v>46</v>
      </c>
      <c r="G8">
        <f t="shared" si="1"/>
        <v>5.9565217391304603</v>
      </c>
    </row>
    <row r="9" spans="1:7">
      <c r="A9" t="s">
        <v>701</v>
      </c>
      <c r="C9">
        <v>334.29</v>
      </c>
      <c r="D9">
        <v>335.64</v>
      </c>
      <c r="E9">
        <f t="shared" si="0"/>
        <v>1.3499999999999699</v>
      </c>
      <c r="F9">
        <v>74</v>
      </c>
      <c r="G9">
        <f t="shared" si="1"/>
        <v>1.8243243243242799</v>
      </c>
    </row>
    <row r="10" spans="1:7">
      <c r="A10" t="s">
        <v>702</v>
      </c>
      <c r="C10">
        <v>335.64</v>
      </c>
      <c r="D10">
        <v>336.14</v>
      </c>
      <c r="E10">
        <f t="shared" si="0"/>
        <v>0.5</v>
      </c>
      <c r="F10">
        <v>51.28</v>
      </c>
      <c r="G10">
        <f t="shared" si="1"/>
        <v>0.97503900156006196</v>
      </c>
    </row>
    <row r="11" spans="1:7">
      <c r="A11" t="s">
        <v>704</v>
      </c>
      <c r="C11">
        <v>336.14</v>
      </c>
      <c r="D11">
        <v>335.41</v>
      </c>
      <c r="E11">
        <f t="shared" si="0"/>
        <v>-0.72999999999996101</v>
      </c>
      <c r="F11">
        <v>95.2</v>
      </c>
      <c r="G11">
        <f t="shared" si="1"/>
        <v>-0.76680672268903505</v>
      </c>
    </row>
    <row r="12" spans="1:7">
      <c r="A12" t="s">
        <v>705</v>
      </c>
      <c r="C12">
        <v>337</v>
      </c>
      <c r="D12">
        <v>339.62</v>
      </c>
      <c r="E12">
        <f t="shared" si="0"/>
        <v>2.62</v>
      </c>
      <c r="F12">
        <v>62.24</v>
      </c>
      <c r="G12">
        <f t="shared" si="1"/>
        <v>4.2095115681233901</v>
      </c>
    </row>
    <row r="13" spans="1:7">
      <c r="A13" t="s">
        <v>706</v>
      </c>
      <c r="C13">
        <v>339.62</v>
      </c>
      <c r="D13">
        <v>344.29</v>
      </c>
      <c r="E13">
        <f t="shared" si="0"/>
        <v>4.6700000000000204</v>
      </c>
      <c r="F13">
        <v>86</v>
      </c>
      <c r="G13">
        <f t="shared" si="1"/>
        <v>5.4302325581395596</v>
      </c>
    </row>
    <row r="14" spans="1:7">
      <c r="A14">
        <v>1800</v>
      </c>
      <c r="B14">
        <v>2045</v>
      </c>
      <c r="C14">
        <v>345.24</v>
      </c>
      <c r="D14">
        <v>353.67</v>
      </c>
      <c r="E14">
        <f t="shared" si="0"/>
        <v>8.4300000000000104</v>
      </c>
      <c r="F14">
        <f>B14-A14</f>
        <v>245</v>
      </c>
      <c r="G14">
        <f t="shared" si="1"/>
        <v>3.4408163265306202</v>
      </c>
    </row>
    <row r="15" spans="1:7">
      <c r="A15">
        <v>2045</v>
      </c>
      <c r="B15">
        <v>2400</v>
      </c>
      <c r="C15">
        <v>353.67</v>
      </c>
      <c r="D15">
        <v>349.7</v>
      </c>
      <c r="E15">
        <f t="shared" si="0"/>
        <v>-3.9700000000000299</v>
      </c>
      <c r="F15">
        <f>B15-A15</f>
        <v>355</v>
      </c>
      <c r="G15">
        <f t="shared" si="1"/>
        <v>-1.1183098591549401</v>
      </c>
    </row>
    <row r="16" spans="1:7">
      <c r="A16">
        <v>2400</v>
      </c>
      <c r="B16">
        <v>2650</v>
      </c>
      <c r="C16">
        <v>349.7</v>
      </c>
      <c r="D16">
        <v>361.74</v>
      </c>
      <c r="E16">
        <f t="shared" si="0"/>
        <v>12.04</v>
      </c>
      <c r="F16">
        <f>B16-A16</f>
        <v>250</v>
      </c>
      <c r="G16">
        <f t="shared" si="1"/>
        <v>4.8159999999999998</v>
      </c>
    </row>
    <row r="17" spans="1:7">
      <c r="A17">
        <v>2600</v>
      </c>
      <c r="B17">
        <v>2800</v>
      </c>
      <c r="C17">
        <v>360.02</v>
      </c>
      <c r="D17">
        <v>367.44</v>
      </c>
      <c r="E17">
        <f t="shared" si="0"/>
        <v>7.4200000000000204</v>
      </c>
      <c r="F17">
        <f>B17-A17</f>
        <v>200</v>
      </c>
      <c r="G17">
        <f t="shared" si="1"/>
        <v>3.7100000000000102</v>
      </c>
    </row>
    <row r="18" spans="1:7">
      <c r="E18">
        <f t="shared" si="0"/>
        <v>0</v>
      </c>
      <c r="G18" t="e">
        <f t="shared" si="1"/>
        <v>#DIV/0!</v>
      </c>
    </row>
    <row r="19" spans="1:7">
      <c r="E19">
        <f t="shared" si="0"/>
        <v>0</v>
      </c>
      <c r="G19" t="e">
        <f t="shared" si="1"/>
        <v>#DIV/0!</v>
      </c>
    </row>
    <row r="20" spans="1:7">
      <c r="E20">
        <f t="shared" si="0"/>
        <v>0</v>
      </c>
      <c r="G20" t="e">
        <f t="shared" si="1"/>
        <v>#DIV/0!</v>
      </c>
    </row>
    <row r="21" spans="1:7">
      <c r="E21">
        <f t="shared" si="0"/>
        <v>0</v>
      </c>
      <c r="G21" t="e">
        <f t="shared" si="1"/>
        <v>#DIV/0!</v>
      </c>
    </row>
    <row r="22" spans="1:7">
      <c r="E22">
        <f t="shared" si="0"/>
        <v>0</v>
      </c>
      <c r="G22" t="e">
        <f t="shared" si="1"/>
        <v>#DIV/0!</v>
      </c>
    </row>
    <row r="23" spans="1:7">
      <c r="E23">
        <f t="shared" si="0"/>
        <v>0</v>
      </c>
      <c r="G23" t="e">
        <f t="shared" si="1"/>
        <v>#DIV/0!</v>
      </c>
    </row>
    <row r="24" spans="1:7">
      <c r="E24">
        <f t="shared" si="0"/>
        <v>0</v>
      </c>
      <c r="G24" t="e">
        <f t="shared" si="1"/>
        <v>#DIV/0!</v>
      </c>
    </row>
    <row r="25" spans="1:7">
      <c r="E25">
        <f t="shared" si="0"/>
        <v>0</v>
      </c>
      <c r="G25" t="e">
        <f t="shared" si="1"/>
        <v>#DIV/0!</v>
      </c>
    </row>
    <row r="26" spans="1:7">
      <c r="E26">
        <f t="shared" si="0"/>
        <v>0</v>
      </c>
      <c r="G26" t="e">
        <f t="shared" si="1"/>
        <v>#DIV/0!</v>
      </c>
    </row>
    <row r="27" spans="1:7">
      <c r="E27">
        <f t="shared" si="0"/>
        <v>0</v>
      </c>
      <c r="G27" t="e">
        <f t="shared" si="1"/>
        <v>#DIV/0!</v>
      </c>
    </row>
    <row r="28" spans="1:7">
      <c r="E28">
        <f t="shared" si="0"/>
        <v>0</v>
      </c>
      <c r="G28" t="e">
        <f t="shared" si="1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M46"/>
  <sheetViews>
    <sheetView view="pageBreakPreview" topLeftCell="C1" zoomScaleNormal="100" zoomScaleSheetLayoutView="100" zoomScalePageLayoutView="55" workbookViewId="0">
      <selection activeCell="N20" sqref="N20"/>
    </sheetView>
  </sheetViews>
  <sheetFormatPr defaultRowHeight="12.75"/>
  <sheetData>
    <row r="2" spans="1:9" ht="52.5" customHeight="1">
      <c r="A2" s="408"/>
    </row>
    <row r="7" spans="1:9" ht="68.25" customHeight="1">
      <c r="A7" s="749" t="s">
        <v>726</v>
      </c>
      <c r="B7" s="730"/>
      <c r="C7" s="730"/>
      <c r="D7" s="730"/>
      <c r="E7" s="730"/>
      <c r="F7" s="730"/>
      <c r="G7" s="730"/>
      <c r="H7" s="730"/>
      <c r="I7" s="750"/>
    </row>
    <row r="8" spans="1:9" ht="30">
      <c r="A8" s="748"/>
      <c r="B8" s="748"/>
      <c r="C8" s="748"/>
      <c r="D8" s="748"/>
      <c r="E8" s="748"/>
      <c r="F8" s="748"/>
      <c r="G8" s="748"/>
      <c r="H8" s="748"/>
      <c r="I8" s="748"/>
    </row>
    <row r="9" spans="1:9" ht="30">
      <c r="A9" s="748"/>
      <c r="B9" s="748"/>
      <c r="C9" s="748"/>
      <c r="D9" s="748"/>
      <c r="E9" s="748"/>
      <c r="F9" s="748"/>
      <c r="G9" s="748"/>
      <c r="H9" s="748"/>
      <c r="I9" s="748"/>
    </row>
    <row r="10" spans="1:9" ht="30" hidden="1">
      <c r="A10" s="748"/>
      <c r="B10" s="748"/>
      <c r="C10" s="748"/>
      <c r="D10" s="748"/>
      <c r="E10" s="748"/>
      <c r="F10" s="748"/>
      <c r="G10" s="748"/>
      <c r="H10" s="748"/>
      <c r="I10" s="748"/>
    </row>
    <row r="11" spans="1:9" ht="30" hidden="1">
      <c r="A11" s="748"/>
      <c r="B11" s="748"/>
      <c r="C11" s="748"/>
      <c r="D11" s="748"/>
      <c r="E11" s="748"/>
      <c r="F11" s="748"/>
      <c r="G11" s="748"/>
      <c r="H11" s="748"/>
      <c r="I11" s="748"/>
    </row>
    <row r="12" spans="1:9" ht="30">
      <c r="A12" s="748"/>
      <c r="B12" s="748"/>
      <c r="C12" s="748"/>
      <c r="D12" s="748"/>
      <c r="E12" s="748"/>
      <c r="F12" s="748"/>
      <c r="G12" s="748"/>
      <c r="H12" s="748"/>
      <c r="I12" s="748"/>
    </row>
    <row r="13" spans="1:9" ht="30">
      <c r="A13" s="748"/>
      <c r="B13" s="748"/>
      <c r="C13" s="748"/>
      <c r="D13" s="748"/>
      <c r="E13" s="748"/>
      <c r="F13" s="748"/>
      <c r="G13" s="748"/>
      <c r="H13" s="748"/>
      <c r="I13" s="748"/>
    </row>
    <row r="14" spans="1:9" ht="30">
      <c r="A14" s="748"/>
      <c r="B14" s="748"/>
      <c r="C14" s="748"/>
      <c r="D14" s="748"/>
      <c r="E14" s="748"/>
      <c r="F14" s="748"/>
      <c r="G14" s="748"/>
      <c r="H14" s="748"/>
      <c r="I14" s="748"/>
    </row>
    <row r="15" spans="1:9" ht="30">
      <c r="A15" s="748"/>
      <c r="B15" s="748"/>
      <c r="C15" s="748"/>
      <c r="D15" s="748"/>
      <c r="E15" s="748"/>
      <c r="F15" s="748"/>
      <c r="G15" s="748"/>
      <c r="H15" s="748"/>
      <c r="I15" s="748"/>
    </row>
    <row r="16" spans="1:9" ht="30">
      <c r="A16" s="748"/>
      <c r="B16" s="748"/>
      <c r="C16" s="748"/>
      <c r="D16" s="748"/>
      <c r="E16" s="748"/>
      <c r="F16" s="748"/>
      <c r="G16" s="748"/>
      <c r="H16" s="748"/>
      <c r="I16" s="748"/>
    </row>
    <row r="17" spans="1:13" ht="30">
      <c r="A17" s="748"/>
      <c r="B17" s="748"/>
      <c r="C17" s="748"/>
      <c r="D17" s="748"/>
      <c r="E17" s="748"/>
      <c r="F17" s="748"/>
      <c r="G17" s="748"/>
      <c r="H17" s="748"/>
      <c r="I17" s="748"/>
    </row>
    <row r="18" spans="1:13" ht="30">
      <c r="A18" s="748"/>
      <c r="B18" s="748"/>
      <c r="C18" s="748"/>
      <c r="D18" s="748"/>
      <c r="E18" s="748"/>
      <c r="F18" s="748"/>
      <c r="G18" s="748"/>
      <c r="H18" s="748"/>
      <c r="I18" s="748"/>
    </row>
    <row r="19" spans="1:13" ht="30">
      <c r="A19" s="747"/>
      <c r="B19" s="747"/>
      <c r="C19" s="747"/>
      <c r="D19" s="747"/>
      <c r="E19" s="747"/>
      <c r="F19" s="747"/>
      <c r="G19" s="748"/>
      <c r="H19" s="748"/>
      <c r="I19" s="748"/>
    </row>
    <row r="20" spans="1:13" ht="30">
      <c r="A20" s="747"/>
      <c r="B20" s="747"/>
      <c r="C20" s="747"/>
      <c r="D20" s="747"/>
      <c r="E20" s="747"/>
      <c r="F20" s="747"/>
      <c r="G20" s="748"/>
      <c r="H20" s="748"/>
      <c r="I20" s="748"/>
    </row>
    <row r="21" spans="1:13">
      <c r="A21" s="415"/>
      <c r="B21" s="415"/>
      <c r="C21" s="415"/>
      <c r="D21" s="415"/>
      <c r="E21" s="415"/>
      <c r="F21" s="415"/>
    </row>
    <row r="22" spans="1:13">
      <c r="A22" s="415"/>
      <c r="B22" s="415"/>
      <c r="C22" s="415"/>
      <c r="D22" s="415"/>
      <c r="E22" s="415"/>
      <c r="F22" s="415"/>
    </row>
    <row r="23" spans="1:13">
      <c r="A23" s="415"/>
      <c r="B23" s="415"/>
      <c r="C23" s="415"/>
      <c r="D23" s="415"/>
      <c r="E23" s="415"/>
      <c r="F23" s="415"/>
    </row>
    <row r="25" spans="1:13">
      <c r="F25" s="411"/>
    </row>
    <row r="26" spans="1:13">
      <c r="E26" s="411"/>
    </row>
    <row r="30" spans="1:13">
      <c r="F30" s="411"/>
    </row>
    <row r="31" spans="1:13" ht="54" customHeight="1">
      <c r="C31" s="408"/>
      <c r="E31" s="411"/>
      <c r="K31" s="438"/>
    </row>
    <row r="32" spans="1:13" ht="48" customHeight="1">
      <c r="C32" s="408"/>
      <c r="K32" s="415"/>
      <c r="L32" s="415"/>
      <c r="M32" s="415"/>
    </row>
    <row r="36" spans="1:6">
      <c r="A36" s="415"/>
      <c r="B36" s="415"/>
      <c r="C36" s="415"/>
      <c r="D36" s="415"/>
      <c r="E36" s="415"/>
      <c r="F36" s="415"/>
    </row>
    <row r="37" spans="1:6">
      <c r="A37" s="415"/>
      <c r="B37" s="415"/>
      <c r="C37" s="415"/>
      <c r="D37" s="415"/>
      <c r="E37" s="415"/>
      <c r="F37" s="415"/>
    </row>
    <row r="38" spans="1:6">
      <c r="A38" s="415"/>
      <c r="B38" s="415"/>
      <c r="C38" s="415"/>
      <c r="D38" s="415"/>
      <c r="E38" s="415"/>
      <c r="F38" s="415"/>
    </row>
    <row r="39" spans="1:6">
      <c r="F39" s="411"/>
    </row>
    <row r="40" spans="1:6">
      <c r="E40" s="411"/>
    </row>
    <row r="41" spans="1:6">
      <c r="E41" s="411"/>
    </row>
    <row r="45" spans="1:6">
      <c r="F45" s="411"/>
    </row>
    <row r="46" spans="1:6">
      <c r="E46" s="411"/>
    </row>
  </sheetData>
  <mergeCells count="14">
    <mergeCell ref="A13:I13"/>
    <mergeCell ref="A7:I7"/>
    <mergeCell ref="A8:I8"/>
    <mergeCell ref="A9:I9"/>
    <mergeCell ref="A10:I10"/>
    <mergeCell ref="A11:I11"/>
    <mergeCell ref="A12:I12"/>
    <mergeCell ref="A20:I20"/>
    <mergeCell ref="A14:I14"/>
    <mergeCell ref="A15:I15"/>
    <mergeCell ref="A16:I16"/>
    <mergeCell ref="A17:I17"/>
    <mergeCell ref="A18:I18"/>
    <mergeCell ref="A19:I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M46"/>
  <sheetViews>
    <sheetView view="pageBreakPreview" zoomScaleNormal="100" zoomScaleSheetLayoutView="100" zoomScalePageLayoutView="55" workbookViewId="0">
      <selection activeCell="G25" sqref="G25"/>
    </sheetView>
  </sheetViews>
  <sheetFormatPr defaultRowHeight="12.75"/>
  <sheetData>
    <row r="2" spans="1:9" ht="52.5" customHeight="1">
      <c r="A2" s="408"/>
    </row>
    <row r="7" spans="1:9" ht="68.25" customHeight="1">
      <c r="A7" s="749" t="s">
        <v>729</v>
      </c>
      <c r="B7" s="730"/>
      <c r="C7" s="730"/>
      <c r="D7" s="730"/>
      <c r="E7" s="730"/>
      <c r="F7" s="730"/>
      <c r="G7" s="730"/>
      <c r="H7" s="730"/>
      <c r="I7" s="750"/>
    </row>
    <row r="8" spans="1:9" ht="30">
      <c r="A8" s="748"/>
      <c r="B8" s="748"/>
      <c r="C8" s="748"/>
      <c r="D8" s="748"/>
      <c r="E8" s="748"/>
      <c r="F8" s="748"/>
      <c r="G8" s="748"/>
      <c r="H8" s="748"/>
      <c r="I8" s="748"/>
    </row>
    <row r="9" spans="1:9" ht="30">
      <c r="A9" s="748"/>
      <c r="B9" s="748"/>
      <c r="C9" s="748"/>
      <c r="D9" s="748"/>
      <c r="E9" s="748"/>
      <c r="F9" s="748"/>
      <c r="G9" s="748"/>
      <c r="H9" s="748"/>
      <c r="I9" s="748"/>
    </row>
    <row r="10" spans="1:9" ht="30" hidden="1">
      <c r="A10" s="748"/>
      <c r="B10" s="748"/>
      <c r="C10" s="748"/>
      <c r="D10" s="748"/>
      <c r="E10" s="748"/>
      <c r="F10" s="748"/>
      <c r="G10" s="748"/>
      <c r="H10" s="748"/>
      <c r="I10" s="748"/>
    </row>
    <row r="11" spans="1:9" ht="30" hidden="1">
      <c r="A11" s="748"/>
      <c r="B11" s="748"/>
      <c r="C11" s="748"/>
      <c r="D11" s="748"/>
      <c r="E11" s="748"/>
      <c r="F11" s="748"/>
      <c r="G11" s="748"/>
      <c r="H11" s="748"/>
      <c r="I11" s="748"/>
    </row>
    <row r="12" spans="1:9" ht="30">
      <c r="A12" s="748"/>
      <c r="B12" s="748"/>
      <c r="C12" s="748"/>
      <c r="D12" s="748"/>
      <c r="E12" s="748"/>
      <c r="F12" s="748"/>
      <c r="G12" s="748"/>
      <c r="H12" s="748"/>
      <c r="I12" s="748"/>
    </row>
    <row r="13" spans="1:9" ht="30">
      <c r="A13" s="748"/>
      <c r="B13" s="748"/>
      <c r="C13" s="748"/>
      <c r="D13" s="748"/>
      <c r="E13" s="748"/>
      <c r="F13" s="748"/>
      <c r="G13" s="748"/>
      <c r="H13" s="748"/>
      <c r="I13" s="748"/>
    </row>
    <row r="14" spans="1:9" ht="30">
      <c r="A14" s="748"/>
      <c r="B14" s="748"/>
      <c r="C14" s="748"/>
      <c r="D14" s="748"/>
      <c r="E14" s="748"/>
      <c r="F14" s="748"/>
      <c r="G14" s="748"/>
      <c r="H14" s="748"/>
      <c r="I14" s="748"/>
    </row>
    <row r="15" spans="1:9" ht="30">
      <c r="A15" s="748"/>
      <c r="B15" s="748"/>
      <c r="C15" s="748"/>
      <c r="D15" s="748"/>
      <c r="E15" s="748"/>
      <c r="F15" s="748"/>
      <c r="G15" s="748"/>
      <c r="H15" s="748"/>
      <c r="I15" s="748"/>
    </row>
    <row r="16" spans="1:9" ht="30">
      <c r="A16" s="748"/>
      <c r="B16" s="748"/>
      <c r="C16" s="748"/>
      <c r="D16" s="748"/>
      <c r="E16" s="748"/>
      <c r="F16" s="748"/>
      <c r="G16" s="748"/>
      <c r="H16" s="748"/>
      <c r="I16" s="748"/>
    </row>
    <row r="17" spans="1:13" ht="30">
      <c r="A17" s="748"/>
      <c r="B17" s="748"/>
      <c r="C17" s="748"/>
      <c r="D17" s="748"/>
      <c r="E17" s="748"/>
      <c r="F17" s="748"/>
      <c r="G17" s="748"/>
      <c r="H17" s="748"/>
      <c r="I17" s="748"/>
    </row>
    <row r="18" spans="1:13" ht="30">
      <c r="A18" s="748"/>
      <c r="B18" s="748"/>
      <c r="C18" s="748"/>
      <c r="D18" s="748"/>
      <c r="E18" s="748"/>
      <c r="F18" s="748"/>
      <c r="G18" s="748"/>
      <c r="H18" s="748"/>
      <c r="I18" s="748"/>
    </row>
    <row r="19" spans="1:13" ht="30">
      <c r="A19" s="747"/>
      <c r="B19" s="747"/>
      <c r="C19" s="747"/>
      <c r="D19" s="747"/>
      <c r="E19" s="747"/>
      <c r="F19" s="747"/>
      <c r="G19" s="748"/>
      <c r="H19" s="748"/>
      <c r="I19" s="748"/>
    </row>
    <row r="20" spans="1:13" ht="30">
      <c r="A20" s="747"/>
      <c r="B20" s="747"/>
      <c r="C20" s="747"/>
      <c r="D20" s="747"/>
      <c r="E20" s="747"/>
      <c r="F20" s="747"/>
      <c r="G20" s="748"/>
      <c r="H20" s="748"/>
      <c r="I20" s="748"/>
    </row>
    <row r="21" spans="1:13">
      <c r="A21" s="415"/>
      <c r="B21" s="415"/>
      <c r="C21" s="415"/>
      <c r="D21" s="415"/>
      <c r="E21" s="415"/>
      <c r="F21" s="415"/>
    </row>
    <row r="22" spans="1:13">
      <c r="A22" s="415"/>
      <c r="B22" s="415"/>
      <c r="C22" s="415"/>
      <c r="D22" s="415"/>
      <c r="E22" s="415"/>
      <c r="F22" s="415"/>
    </row>
    <row r="23" spans="1:13">
      <c r="A23" s="415"/>
      <c r="B23" s="415"/>
      <c r="C23" s="415"/>
      <c r="D23" s="415"/>
      <c r="E23" s="415"/>
      <c r="F23" s="415"/>
    </row>
    <row r="25" spans="1:13">
      <c r="F25" s="411"/>
    </row>
    <row r="26" spans="1:13">
      <c r="E26" s="411"/>
    </row>
    <row r="30" spans="1:13">
      <c r="F30" s="411"/>
    </row>
    <row r="31" spans="1:13" ht="54" customHeight="1">
      <c r="C31" s="408"/>
      <c r="E31" s="411"/>
      <c r="K31" s="438"/>
    </row>
    <row r="32" spans="1:13" ht="48" customHeight="1">
      <c r="C32" s="408"/>
      <c r="K32" s="415"/>
      <c r="L32" s="415"/>
      <c r="M32" s="415"/>
    </row>
    <row r="36" spans="1:6">
      <c r="A36" s="415"/>
      <c r="B36" s="415"/>
      <c r="C36" s="415"/>
      <c r="D36" s="415"/>
      <c r="E36" s="415"/>
      <c r="F36" s="415"/>
    </row>
    <row r="37" spans="1:6">
      <c r="A37" s="415"/>
      <c r="B37" s="415"/>
      <c r="C37" s="415"/>
      <c r="D37" s="415"/>
      <c r="E37" s="415"/>
      <c r="F37" s="415"/>
    </row>
    <row r="38" spans="1:6">
      <c r="A38" s="415"/>
      <c r="B38" s="415"/>
      <c r="C38" s="415"/>
      <c r="D38" s="415"/>
      <c r="E38" s="415"/>
      <c r="F38" s="415"/>
    </row>
    <row r="39" spans="1:6">
      <c r="F39" s="411"/>
    </row>
    <row r="40" spans="1:6">
      <c r="E40" s="411"/>
    </row>
    <row r="41" spans="1:6">
      <c r="E41" s="411"/>
    </row>
    <row r="45" spans="1:6">
      <c r="F45" s="411"/>
    </row>
    <row r="46" spans="1:6">
      <c r="E46" s="411"/>
    </row>
  </sheetData>
  <mergeCells count="14">
    <mergeCell ref="A12:I12"/>
    <mergeCell ref="A7:I7"/>
    <mergeCell ref="A8:I8"/>
    <mergeCell ref="A9:I9"/>
    <mergeCell ref="A10:I10"/>
    <mergeCell ref="A11:I11"/>
    <mergeCell ref="A19:I19"/>
    <mergeCell ref="A20:I20"/>
    <mergeCell ref="A13:I13"/>
    <mergeCell ref="A14:I14"/>
    <mergeCell ref="A15:I15"/>
    <mergeCell ref="A16:I16"/>
    <mergeCell ref="A17:I17"/>
    <mergeCell ref="A18:I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6" tint="0.59999389629810485"/>
    <pageSetUpPr fitToPage="1"/>
  </sheetPr>
  <dimension ref="A1:L254"/>
  <sheetViews>
    <sheetView tabSelected="1" view="pageBreakPreview" zoomScaleNormal="100" zoomScaleSheetLayoutView="100" workbookViewId="0">
      <selection sqref="A1:C1"/>
    </sheetView>
  </sheetViews>
  <sheetFormatPr defaultRowHeight="12.75"/>
  <cols>
    <col min="1" max="1" width="14.5703125" customWidth="1"/>
    <col min="2" max="2" width="61.5703125" customWidth="1"/>
    <col min="3" max="3" width="24.42578125" customWidth="1"/>
    <col min="4" max="4" width="25.7109375" customWidth="1"/>
    <col min="6" max="6" width="13.42578125" bestFit="1" customWidth="1"/>
    <col min="8" max="8" width="13.5703125" bestFit="1" customWidth="1"/>
  </cols>
  <sheetData>
    <row r="1" spans="1:4" ht="35.25" customHeight="1">
      <c r="A1" s="1193" t="s">
        <v>1085</v>
      </c>
      <c r="B1" s="1193"/>
      <c r="C1" s="1193"/>
      <c r="D1" s="695" t="s">
        <v>1083</v>
      </c>
    </row>
    <row r="2" spans="1:4" ht="18.75" customHeight="1">
      <c r="A2" s="753" t="s">
        <v>1082</v>
      </c>
      <c r="B2" s="753"/>
      <c r="C2" s="753"/>
      <c r="D2" s="753"/>
    </row>
    <row r="3" spans="1:4" ht="18.75" customHeight="1">
      <c r="A3" s="753"/>
      <c r="B3" s="753"/>
      <c r="C3" s="753"/>
      <c r="D3" s="753"/>
    </row>
    <row r="4" spans="1:4" ht="18.75" hidden="1">
      <c r="A4" s="680"/>
      <c r="B4" s="751"/>
      <c r="C4" s="751"/>
    </row>
    <row r="5" spans="1:4" ht="37.5" customHeight="1">
      <c r="A5" s="446" t="s">
        <v>687</v>
      </c>
      <c r="B5" s="649" t="s">
        <v>1068</v>
      </c>
      <c r="C5" s="446" t="s">
        <v>987</v>
      </c>
      <c r="D5" s="446" t="s">
        <v>988</v>
      </c>
    </row>
    <row r="6" spans="1:4" ht="33" customHeight="1">
      <c r="A6" s="34" t="s">
        <v>85</v>
      </c>
      <c r="B6" s="658" t="s">
        <v>1045</v>
      </c>
      <c r="C6" s="529"/>
      <c r="D6" s="529"/>
    </row>
    <row r="7" spans="1:4" ht="38.25" customHeight="1">
      <c r="A7" s="34" t="s">
        <v>86</v>
      </c>
      <c r="B7" s="659" t="s">
        <v>996</v>
      </c>
      <c r="C7" s="529"/>
      <c r="D7" s="529"/>
    </row>
    <row r="8" spans="1:4" ht="31.5" customHeight="1">
      <c r="A8" s="34" t="s">
        <v>87</v>
      </c>
      <c r="B8" s="660" t="s">
        <v>997</v>
      </c>
      <c r="C8" s="529"/>
      <c r="D8" s="529"/>
    </row>
    <row r="9" spans="1:4" ht="33" customHeight="1">
      <c r="A9" s="34" t="s">
        <v>88</v>
      </c>
      <c r="B9" s="661" t="s">
        <v>1004</v>
      </c>
      <c r="C9" s="529"/>
      <c r="D9" s="529"/>
    </row>
    <row r="10" spans="1:4" ht="33" customHeight="1">
      <c r="A10" s="34" t="s">
        <v>89</v>
      </c>
      <c r="B10" s="659" t="s">
        <v>1033</v>
      </c>
      <c r="C10" s="529"/>
      <c r="D10" s="529"/>
    </row>
    <row r="11" spans="1:4" ht="33" customHeight="1">
      <c r="A11" s="34" t="s">
        <v>97</v>
      </c>
      <c r="B11" s="657" t="s">
        <v>998</v>
      </c>
      <c r="C11" s="529"/>
      <c r="D11" s="529"/>
    </row>
    <row r="12" spans="1:4" ht="30.75" customHeight="1">
      <c r="A12" s="34" t="s">
        <v>125</v>
      </c>
      <c r="B12" s="657" t="s">
        <v>999</v>
      </c>
      <c r="C12" s="529"/>
      <c r="D12" s="529"/>
    </row>
    <row r="13" spans="1:4" ht="31.5" customHeight="1">
      <c r="A13" s="34" t="s">
        <v>798</v>
      </c>
      <c r="B13" s="658" t="s">
        <v>1000</v>
      </c>
      <c r="C13" s="529"/>
      <c r="D13" s="529"/>
    </row>
    <row r="14" spans="1:4" ht="45.75" customHeight="1">
      <c r="A14" s="34" t="s">
        <v>989</v>
      </c>
      <c r="B14" s="658" t="s">
        <v>1070</v>
      </c>
      <c r="C14" s="529"/>
      <c r="D14" s="529"/>
    </row>
    <row r="15" spans="1:4" ht="33" customHeight="1">
      <c r="A15" s="34" t="s">
        <v>187</v>
      </c>
      <c r="B15" s="658" t="s">
        <v>1001</v>
      </c>
      <c r="C15" s="529"/>
      <c r="D15" s="529"/>
    </row>
    <row r="16" spans="1:4" ht="33" customHeight="1">
      <c r="A16" s="34" t="s">
        <v>990</v>
      </c>
      <c r="B16" s="658" t="s">
        <v>1069</v>
      </c>
      <c r="C16" s="529"/>
      <c r="D16" s="529"/>
    </row>
    <row r="17" spans="1:12" ht="31.5" customHeight="1">
      <c r="A17" s="34" t="s">
        <v>991</v>
      </c>
      <c r="B17" s="658" t="s">
        <v>1040</v>
      </c>
      <c r="C17" s="529"/>
      <c r="D17" s="529"/>
    </row>
    <row r="18" spans="1:12" ht="30.75" customHeight="1">
      <c r="A18" s="34" t="s">
        <v>992</v>
      </c>
      <c r="B18" s="658" t="s">
        <v>1076</v>
      </c>
      <c r="C18" s="529"/>
      <c r="D18" s="529"/>
    </row>
    <row r="19" spans="1:12" ht="33" customHeight="1">
      <c r="A19" s="34" t="s">
        <v>993</v>
      </c>
      <c r="B19" s="658" t="s">
        <v>1002</v>
      </c>
      <c r="C19" s="529"/>
      <c r="D19" s="529"/>
    </row>
    <row r="20" spans="1:12" ht="31.5" customHeight="1">
      <c r="A20" s="34" t="s">
        <v>994</v>
      </c>
      <c r="B20" s="658" t="s">
        <v>1047</v>
      </c>
      <c r="C20" s="529"/>
      <c r="D20" s="529"/>
    </row>
    <row r="21" spans="1:12" ht="31.5" customHeight="1">
      <c r="A21" s="34" t="s">
        <v>995</v>
      </c>
      <c r="B21" s="658" t="s">
        <v>1003</v>
      </c>
      <c r="C21" s="529"/>
      <c r="D21" s="529"/>
    </row>
    <row r="22" spans="1:12" ht="31.5" customHeight="1">
      <c r="A22" s="682" t="s">
        <v>1074</v>
      </c>
      <c r="B22" s="681" t="s">
        <v>1073</v>
      </c>
      <c r="C22" s="529"/>
      <c r="D22" s="529"/>
    </row>
    <row r="23" spans="1:12" ht="37.5" customHeight="1">
      <c r="A23" s="752" t="s">
        <v>1005</v>
      </c>
      <c r="B23" s="752"/>
      <c r="C23" s="447"/>
      <c r="D23" s="447"/>
    </row>
    <row r="24" spans="1:12" ht="54" customHeight="1">
      <c r="D24" s="411"/>
    </row>
    <row r="25" spans="1:12">
      <c r="I25" s="415"/>
      <c r="J25" s="415"/>
      <c r="K25" s="415"/>
    </row>
    <row r="27" spans="1:12">
      <c r="C27" s="411"/>
    </row>
    <row r="28" spans="1:12">
      <c r="L28" t="s">
        <v>1081</v>
      </c>
    </row>
    <row r="30" spans="1:12">
      <c r="D30" s="415"/>
    </row>
    <row r="31" spans="1:12">
      <c r="D31" s="415"/>
    </row>
    <row r="32" spans="1:12">
      <c r="A32" s="415"/>
      <c r="B32" s="415"/>
      <c r="C32" s="415"/>
      <c r="D32" s="415"/>
    </row>
    <row r="33" spans="1:4">
      <c r="A33" s="415"/>
      <c r="B33" s="415"/>
      <c r="C33" s="415"/>
      <c r="D33" s="411"/>
    </row>
    <row r="34" spans="1:4">
      <c r="A34" s="415"/>
      <c r="B34" s="415"/>
      <c r="C34" s="415"/>
    </row>
    <row r="36" spans="1:4">
      <c r="C36" s="411"/>
    </row>
    <row r="37" spans="1:4">
      <c r="C37" s="411"/>
    </row>
    <row r="39" spans="1:4">
      <c r="D39" s="411"/>
    </row>
    <row r="42" spans="1:4">
      <c r="C42" s="411"/>
    </row>
    <row r="55" spans="1:9">
      <c r="E55" s="754" t="s">
        <v>353</v>
      </c>
      <c r="F55" s="754"/>
      <c r="G55" s="638"/>
      <c r="H55" s="638"/>
      <c r="I55" s="638"/>
    </row>
    <row r="56" spans="1:9">
      <c r="A56" s="638" t="e">
        <f>#REF!</f>
        <v>#REF!</v>
      </c>
      <c r="B56" s="638"/>
      <c r="C56" s="638"/>
      <c r="D56" s="638"/>
      <c r="E56" s="636" t="s">
        <v>354</v>
      </c>
      <c r="F56" s="636" t="s">
        <v>355</v>
      </c>
      <c r="G56" s="636" t="s">
        <v>356</v>
      </c>
      <c r="H56" s="633" t="s">
        <v>357</v>
      </c>
      <c r="I56" s="638"/>
    </row>
    <row r="57" spans="1:9">
      <c r="A57" s="637"/>
      <c r="B57" s="636" t="s">
        <v>355</v>
      </c>
      <c r="C57" s="636" t="s">
        <v>354</v>
      </c>
      <c r="D57" s="636" t="s">
        <v>355</v>
      </c>
      <c r="E57" s="638"/>
      <c r="F57" s="638"/>
      <c r="G57" s="638"/>
      <c r="H57" s="634" t="s">
        <v>8</v>
      </c>
      <c r="I57" s="638"/>
    </row>
    <row r="58" spans="1:9">
      <c r="A58" s="638">
        <v>0</v>
      </c>
      <c r="B58" s="639">
        <v>0</v>
      </c>
      <c r="C58" s="634" t="s">
        <v>8</v>
      </c>
      <c r="D58" s="634" t="s">
        <v>8</v>
      </c>
      <c r="E58" s="634" t="s">
        <v>8</v>
      </c>
      <c r="F58" s="634" t="s">
        <v>8</v>
      </c>
      <c r="G58" s="638"/>
      <c r="H58" s="634" t="s">
        <v>8</v>
      </c>
      <c r="I58" s="638"/>
    </row>
    <row r="59" spans="1:9">
      <c r="A59" s="637">
        <v>0</v>
      </c>
      <c r="B59" s="639">
        <v>0</v>
      </c>
      <c r="C59" s="634" t="s">
        <v>8</v>
      </c>
      <c r="D59" s="634" t="s">
        <v>8</v>
      </c>
      <c r="E59" s="638"/>
      <c r="F59" s="638"/>
      <c r="G59" s="638"/>
      <c r="H59" s="634" t="s">
        <v>961</v>
      </c>
      <c r="I59" s="638"/>
    </row>
    <row r="60" spans="1:9">
      <c r="A60" s="638">
        <v>5</v>
      </c>
      <c r="B60" s="639">
        <v>0</v>
      </c>
      <c r="C60" s="634" t="s">
        <v>961</v>
      </c>
      <c r="D60" s="634" t="s">
        <v>8</v>
      </c>
      <c r="E60" s="638"/>
      <c r="F60" s="638"/>
      <c r="G60" s="638"/>
      <c r="H60" s="634" t="s">
        <v>962</v>
      </c>
      <c r="I60" s="638"/>
    </row>
    <row r="61" spans="1:9">
      <c r="A61" s="638">
        <v>1</v>
      </c>
      <c r="B61" s="639">
        <v>0</v>
      </c>
      <c r="C61" s="634" t="s">
        <v>962</v>
      </c>
      <c r="D61" s="634" t="s">
        <v>8</v>
      </c>
      <c r="E61" s="634" t="s">
        <v>8</v>
      </c>
      <c r="F61" s="634" t="s">
        <v>8</v>
      </c>
      <c r="G61" s="638"/>
      <c r="H61" s="634" t="s">
        <v>8</v>
      </c>
      <c r="I61" s="638"/>
    </row>
    <row r="62" spans="1:9">
      <c r="A62" s="637">
        <v>0</v>
      </c>
      <c r="B62" s="639">
        <v>0</v>
      </c>
      <c r="C62" s="634" t="s">
        <v>8</v>
      </c>
      <c r="D62" s="634" t="s">
        <v>8</v>
      </c>
      <c r="E62" s="638"/>
      <c r="F62" s="638"/>
      <c r="G62" s="638"/>
      <c r="H62" s="634" t="s">
        <v>960</v>
      </c>
      <c r="I62" s="638"/>
    </row>
    <row r="63" spans="1:9">
      <c r="A63" s="638">
        <v>4</v>
      </c>
      <c r="B63" s="639">
        <v>0</v>
      </c>
      <c r="C63" s="634" t="s">
        <v>960</v>
      </c>
      <c r="D63" s="634" t="s">
        <v>8</v>
      </c>
      <c r="E63" s="638"/>
      <c r="F63" s="638"/>
      <c r="G63" s="638"/>
      <c r="H63" s="634" t="s">
        <v>963</v>
      </c>
      <c r="I63" s="638"/>
    </row>
    <row r="64" spans="1:9">
      <c r="A64" s="638">
        <v>6</v>
      </c>
      <c r="B64" s="639">
        <v>1</v>
      </c>
      <c r="C64" s="634" t="s">
        <v>8</v>
      </c>
      <c r="D64" s="634" t="s">
        <v>963</v>
      </c>
      <c r="E64" s="634" t="s">
        <v>8</v>
      </c>
      <c r="F64" s="634" t="s">
        <v>965</v>
      </c>
      <c r="G64" s="638"/>
      <c r="H64" s="634" t="s">
        <v>964</v>
      </c>
      <c r="I64" s="638"/>
    </row>
    <row r="65" spans="1:9">
      <c r="A65" s="637">
        <v>8</v>
      </c>
      <c r="B65" s="639">
        <v>1</v>
      </c>
      <c r="C65" s="634" t="s">
        <v>8</v>
      </c>
      <c r="D65" s="634" t="s">
        <v>964</v>
      </c>
      <c r="E65" s="638"/>
      <c r="F65" s="638"/>
      <c r="G65" s="638"/>
      <c r="H65" s="634" t="s">
        <v>966</v>
      </c>
      <c r="I65" s="638"/>
    </row>
    <row r="66" spans="1:9">
      <c r="A66" s="635">
        <v>17</v>
      </c>
      <c r="B66" s="638"/>
      <c r="C66" s="638"/>
      <c r="D66" s="638"/>
      <c r="E66" s="638"/>
      <c r="F66" s="638"/>
      <c r="G66" s="638"/>
      <c r="H66" s="638"/>
      <c r="I66" s="638"/>
    </row>
    <row r="67" spans="1:9">
      <c r="A67" s="638"/>
      <c r="B67" s="638"/>
      <c r="C67" s="633" t="s">
        <v>41</v>
      </c>
      <c r="D67" s="638"/>
      <c r="E67" s="634"/>
      <c r="F67" s="634"/>
      <c r="G67" s="634"/>
      <c r="H67" s="634"/>
      <c r="I67" s="638"/>
    </row>
    <row r="68" spans="1:9">
      <c r="A68" s="640" t="e">
        <f>#REF!</f>
        <v>#REF!</v>
      </c>
      <c r="B68" s="638"/>
      <c r="C68" s="634" t="s">
        <v>967</v>
      </c>
      <c r="D68" s="634"/>
    </row>
    <row r="136" hidden="1"/>
    <row r="137" hidden="1"/>
    <row r="138" hidden="1"/>
    <row r="159" spans="6:6">
      <c r="F159" s="169"/>
    </row>
    <row r="177" spans="2:7" hidden="1">
      <c r="E177" s="415"/>
      <c r="F177" s="415"/>
      <c r="G177" s="415"/>
    </row>
    <row r="178" spans="2:7" hidden="1">
      <c r="B178" s="415"/>
      <c r="C178" s="415"/>
      <c r="D178" s="415"/>
      <c r="E178" s="415"/>
      <c r="F178" s="415"/>
      <c r="G178" s="415"/>
    </row>
    <row r="179" spans="2:7" hidden="1">
      <c r="B179" s="415"/>
      <c r="C179" s="415"/>
      <c r="D179" s="415"/>
      <c r="E179" s="415"/>
      <c r="F179" s="415"/>
      <c r="G179" s="415"/>
    </row>
    <row r="180" spans="2:7" hidden="1">
      <c r="B180" s="415"/>
      <c r="C180" s="415"/>
      <c r="D180" s="415"/>
      <c r="E180" s="415"/>
      <c r="F180" s="415"/>
      <c r="G180" s="415"/>
    </row>
    <row r="181" spans="2:7">
      <c r="B181" s="415"/>
      <c r="C181" s="415"/>
      <c r="D181" s="415"/>
    </row>
    <row r="197" spans="6:6">
      <c r="F197" s="169"/>
    </row>
    <row r="200" spans="6:6">
      <c r="F200" s="169"/>
    </row>
    <row r="209" spans="1:6" ht="39" customHeight="1"/>
    <row r="213" spans="1:6">
      <c r="F213" s="169"/>
    </row>
    <row r="220" spans="1:6" ht="48.75" customHeight="1"/>
    <row r="222" spans="1:6" s="415" customFormat="1" hidden="1">
      <c r="A222"/>
      <c r="B222"/>
      <c r="C222"/>
      <c r="D222"/>
    </row>
    <row r="223" spans="1:6" s="415" customFormat="1" hidden="1"/>
    <row r="224" spans="1:6" s="415" customFormat="1" hidden="1"/>
    <row r="225" spans="1:4">
      <c r="A225" s="415"/>
      <c r="B225" s="415"/>
      <c r="C225" s="415"/>
      <c r="D225" s="415"/>
    </row>
    <row r="226" spans="1:4" ht="51.75" customHeight="1"/>
    <row r="228" spans="1:4" ht="24" customHeight="1"/>
    <row r="229" spans="1:4" ht="51.75" customHeight="1"/>
    <row r="232" spans="1:4" ht="39.75" customHeight="1"/>
    <row r="235" spans="1:4" hidden="1"/>
    <row r="236" spans="1:4" hidden="1"/>
    <row r="237" spans="1:4" hidden="1"/>
    <row r="238" spans="1:4" hidden="1"/>
    <row r="239" spans="1:4" hidden="1"/>
    <row r="240" spans="1:4" hidden="1"/>
    <row r="241" spans="6:6" hidden="1"/>
    <row r="242" spans="6:6" hidden="1"/>
    <row r="243" spans="6:6" hidden="1"/>
    <row r="247" spans="6:6" ht="31.5" customHeight="1"/>
    <row r="254" spans="6:6">
      <c r="F254" s="169"/>
    </row>
  </sheetData>
  <mergeCells count="5">
    <mergeCell ref="A1:C1"/>
    <mergeCell ref="B4:C4"/>
    <mergeCell ref="A23:B23"/>
    <mergeCell ref="A2:D3"/>
    <mergeCell ref="E55:F55"/>
  </mergeCells>
  <phoneticPr fontId="92" type="noConversion"/>
  <printOptions gridLines="1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57"/>
  <sheetViews>
    <sheetView view="pageBreakPreview" zoomScaleNormal="100" zoomScaleSheetLayoutView="100" workbookViewId="0">
      <selection activeCell="A2" sqref="A2:J2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06" s="4" customFormat="1" ht="31.5" customHeight="1">
      <c r="A1" s="744" t="s">
        <v>1084</v>
      </c>
      <c r="B1" s="744"/>
      <c r="C1" s="744"/>
      <c r="D1" s="744"/>
      <c r="E1" s="744"/>
      <c r="F1" s="744"/>
      <c r="G1" s="744"/>
      <c r="H1" s="744"/>
      <c r="I1" s="744"/>
      <c r="J1" s="744"/>
    </row>
    <row r="2" spans="1:106" s="4" customFormat="1" ht="39" customHeight="1">
      <c r="A2" s="760" t="s">
        <v>1044</v>
      </c>
      <c r="B2" s="760"/>
      <c r="C2" s="760"/>
      <c r="D2" s="760"/>
      <c r="E2" s="760"/>
      <c r="F2" s="760"/>
      <c r="G2" s="760"/>
      <c r="H2" s="760"/>
      <c r="I2" s="760"/>
      <c r="J2" s="760"/>
    </row>
    <row r="3" spans="1:106" ht="45" customHeight="1">
      <c r="A3" s="74" t="s">
        <v>3</v>
      </c>
      <c r="B3" s="449" t="s">
        <v>199</v>
      </c>
      <c r="C3" s="755" t="s">
        <v>4</v>
      </c>
      <c r="D3" s="755"/>
      <c r="E3" s="755"/>
      <c r="F3" s="755"/>
      <c r="G3" s="74" t="s">
        <v>5</v>
      </c>
      <c r="H3" s="22" t="s">
        <v>6</v>
      </c>
      <c r="I3" s="389" t="s">
        <v>66</v>
      </c>
      <c r="J3" s="389" t="s">
        <v>67</v>
      </c>
    </row>
    <row r="4" spans="1:106" ht="20.25" customHeight="1">
      <c r="A4" s="376"/>
      <c r="B4" s="761" t="s">
        <v>1006</v>
      </c>
      <c r="C4" s="761"/>
      <c r="D4" s="761"/>
      <c r="E4" s="761"/>
      <c r="F4" s="761"/>
      <c r="G4" s="761"/>
      <c r="H4" s="761"/>
      <c r="I4" s="761"/>
      <c r="J4" s="761"/>
    </row>
    <row r="5" spans="1:106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</row>
    <row r="6" spans="1:106" ht="44.25" hidden="1" customHeight="1">
      <c r="A6" s="755"/>
      <c r="B6" s="756"/>
      <c r="C6" s="757" t="s">
        <v>733</v>
      </c>
      <c r="D6" s="757"/>
      <c r="E6" s="757"/>
      <c r="F6" s="757"/>
      <c r="G6" s="758" t="s">
        <v>177</v>
      </c>
      <c r="H6" s="759" t="s">
        <v>34</v>
      </c>
      <c r="I6" s="377"/>
      <c r="J6" s="521"/>
    </row>
    <row r="7" spans="1:106" ht="21.75" hidden="1" customHeight="1">
      <c r="A7" s="755"/>
      <c r="B7" s="756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58"/>
      <c r="H7" s="759"/>
      <c r="I7" s="377"/>
      <c r="J7" s="521"/>
    </row>
    <row r="8" spans="1:106" ht="18" customHeight="1">
      <c r="A8" s="64" t="s">
        <v>34</v>
      </c>
      <c r="B8" s="571" t="s">
        <v>14</v>
      </c>
      <c r="C8" s="736" t="s">
        <v>108</v>
      </c>
      <c r="D8" s="736"/>
      <c r="E8" s="736"/>
      <c r="F8" s="736"/>
      <c r="G8" s="736"/>
      <c r="H8" s="736"/>
      <c r="I8" s="736"/>
      <c r="J8" s="736"/>
    </row>
    <row r="9" spans="1:106" s="14" customFormat="1" ht="53.25" customHeight="1">
      <c r="A9" s="74">
        <v>1</v>
      </c>
      <c r="B9" s="449" t="s">
        <v>952</v>
      </c>
      <c r="C9" s="762" t="s">
        <v>1018</v>
      </c>
      <c r="D9" s="762"/>
      <c r="E9" s="762"/>
      <c r="F9" s="762"/>
      <c r="G9" s="74" t="s">
        <v>176</v>
      </c>
      <c r="H9" s="78">
        <v>150</v>
      </c>
      <c r="I9" s="78"/>
      <c r="J9" s="662"/>
    </row>
    <row r="10" spans="1:106" ht="54" hidden="1" customHeight="1">
      <c r="A10" s="755"/>
      <c r="B10" s="763"/>
      <c r="C10" s="764" t="s">
        <v>969</v>
      </c>
      <c r="D10" s="764"/>
      <c r="E10" s="764"/>
      <c r="F10" s="764"/>
      <c r="G10" s="758" t="s">
        <v>177</v>
      </c>
      <c r="H10" s="765" t="s">
        <v>34</v>
      </c>
      <c r="I10" s="377"/>
      <c r="J10" s="521"/>
    </row>
    <row r="11" spans="1:106" ht="15" hidden="1" customHeight="1">
      <c r="A11" s="755"/>
      <c r="B11" s="763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58"/>
      <c r="H11" s="765"/>
      <c r="I11" s="377"/>
      <c r="J11" s="521"/>
    </row>
    <row r="12" spans="1:106" ht="32.25" customHeight="1">
      <c r="A12" s="21"/>
      <c r="B12" s="448" t="s">
        <v>111</v>
      </c>
      <c r="C12" s="737" t="s">
        <v>189</v>
      </c>
      <c r="D12" s="737"/>
      <c r="E12" s="737"/>
      <c r="F12" s="737"/>
      <c r="G12" s="737"/>
      <c r="H12" s="737"/>
      <c r="I12" s="737"/>
      <c r="J12" s="737"/>
    </row>
    <row r="13" spans="1:106" s="15" customFormat="1" ht="21" customHeight="1">
      <c r="A13" s="64" t="s">
        <v>34</v>
      </c>
      <c r="B13" s="571" t="s">
        <v>142</v>
      </c>
      <c r="C13" s="736" t="s">
        <v>147</v>
      </c>
      <c r="D13" s="736"/>
      <c r="E13" s="736"/>
      <c r="F13" s="736"/>
      <c r="G13" s="736"/>
      <c r="H13" s="736"/>
      <c r="I13" s="736"/>
      <c r="J13" s="736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</row>
    <row r="14" spans="1:106" s="15" customFormat="1" ht="46.5" customHeight="1">
      <c r="A14" s="74">
        <v>2</v>
      </c>
      <c r="B14" s="572" t="s">
        <v>143</v>
      </c>
      <c r="C14" s="768" t="s">
        <v>1046</v>
      </c>
      <c r="D14" s="768"/>
      <c r="E14" s="768"/>
      <c r="F14" s="768"/>
      <c r="G14" s="74" t="s">
        <v>179</v>
      </c>
      <c r="H14" s="78">
        <f>150*0.7</f>
        <v>105</v>
      </c>
      <c r="I14" s="78"/>
      <c r="J14" s="662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</row>
    <row r="15" spans="1:106" s="15" customFormat="1" ht="54" hidden="1" customHeight="1">
      <c r="A15" s="755"/>
      <c r="B15" s="766"/>
      <c r="C15" s="764" t="s">
        <v>978</v>
      </c>
      <c r="D15" s="764"/>
      <c r="E15" s="764"/>
      <c r="F15" s="764"/>
      <c r="G15" s="758" t="s">
        <v>178</v>
      </c>
      <c r="H15" s="767" t="s">
        <v>34</v>
      </c>
      <c r="I15" s="632"/>
      <c r="J15" s="666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</row>
    <row r="16" spans="1:106" s="15" customFormat="1" ht="18" hidden="1" customHeight="1">
      <c r="A16" s="755"/>
      <c r="B16" s="766"/>
      <c r="C16" s="672" t="s">
        <v>714</v>
      </c>
      <c r="D16" s="67" t="e">
        <f>#REF!</f>
        <v>#REF!</v>
      </c>
      <c r="E16" s="109" t="str">
        <f>G15</f>
        <v>m3</v>
      </c>
      <c r="F16" s="67" t="s">
        <v>716</v>
      </c>
      <c r="G16" s="758"/>
      <c r="H16" s="767"/>
      <c r="I16" s="632"/>
      <c r="J16" s="666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</row>
    <row r="17" spans="1:68" s="3" customFormat="1" ht="31.5" customHeight="1">
      <c r="A17" s="21"/>
      <c r="B17" s="448" t="s">
        <v>57</v>
      </c>
      <c r="C17" s="737" t="s">
        <v>181</v>
      </c>
      <c r="D17" s="737"/>
      <c r="E17" s="737"/>
      <c r="F17" s="737"/>
      <c r="G17" s="737"/>
      <c r="H17" s="737"/>
      <c r="I17" s="737"/>
      <c r="J17" s="737"/>
    </row>
    <row r="18" spans="1:68" s="8" customFormat="1" ht="18" customHeight="1">
      <c r="A18" s="64" t="s">
        <v>34</v>
      </c>
      <c r="B18" s="571" t="s">
        <v>972</v>
      </c>
      <c r="C18" s="736" t="s">
        <v>20</v>
      </c>
      <c r="D18" s="736"/>
      <c r="E18" s="736"/>
      <c r="F18" s="736"/>
      <c r="G18" s="736"/>
      <c r="H18" s="736"/>
      <c r="I18" s="736"/>
      <c r="J18" s="736"/>
    </row>
    <row r="19" spans="1:68" s="8" customFormat="1" ht="57" customHeight="1">
      <c r="A19" s="86">
        <v>3</v>
      </c>
      <c r="B19" s="623" t="s">
        <v>1028</v>
      </c>
      <c r="C19" s="769" t="s">
        <v>1041</v>
      </c>
      <c r="D19" s="769"/>
      <c r="E19" s="769"/>
      <c r="F19" s="769"/>
      <c r="G19" s="86" t="s">
        <v>176</v>
      </c>
      <c r="H19" s="87">
        <f>150*3.2</f>
        <v>480</v>
      </c>
      <c r="I19" s="566"/>
      <c r="J19" s="662"/>
    </row>
    <row r="20" spans="1:68" s="8" customFormat="1" ht="33" customHeight="1">
      <c r="A20" s="524"/>
      <c r="B20" s="524" t="s">
        <v>59</v>
      </c>
      <c r="C20" s="770" t="s">
        <v>182</v>
      </c>
      <c r="D20" s="770"/>
      <c r="E20" s="770"/>
      <c r="F20" s="770"/>
      <c r="G20" s="770"/>
      <c r="H20" s="770"/>
      <c r="I20" s="770"/>
      <c r="J20" s="770"/>
    </row>
    <row r="21" spans="1:68" s="16" customFormat="1" ht="25.5" hidden="1" customHeight="1">
      <c r="A21" s="64" t="s">
        <v>34</v>
      </c>
      <c r="B21" s="276" t="s">
        <v>116</v>
      </c>
      <c r="C21" s="741" t="s">
        <v>776</v>
      </c>
      <c r="D21" s="741"/>
      <c r="E21" s="741"/>
      <c r="F21" s="741"/>
      <c r="G21" s="741" t="s">
        <v>8</v>
      </c>
      <c r="H21" s="741"/>
      <c r="I21" s="673"/>
      <c r="J21" s="669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</row>
    <row r="22" spans="1:68" s="204" customFormat="1" ht="29.25" hidden="1" customHeight="1">
      <c r="A22" s="86">
        <v>27</v>
      </c>
      <c r="B22" s="650" t="s">
        <v>116</v>
      </c>
      <c r="C22" s="771" t="s">
        <v>820</v>
      </c>
      <c r="D22" s="771"/>
      <c r="E22" s="771"/>
      <c r="F22" s="771"/>
      <c r="G22" s="289" t="s">
        <v>919</v>
      </c>
      <c r="H22" s="671" t="e">
        <f>SUM(#REF!)</f>
        <v>#REF!</v>
      </c>
      <c r="I22" s="674"/>
      <c r="J22" s="665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</row>
    <row r="23" spans="1:68" s="204" customFormat="1" ht="29.25" hidden="1" customHeight="1">
      <c r="A23" s="772"/>
      <c r="B23" s="773"/>
      <c r="C23" s="774" t="s">
        <v>778</v>
      </c>
      <c r="D23" s="774"/>
      <c r="E23" s="774"/>
      <c r="F23" s="774"/>
      <c r="G23" s="775" t="s">
        <v>920</v>
      </c>
      <c r="H23" s="776" t="s">
        <v>34</v>
      </c>
      <c r="I23" s="674"/>
      <c r="J23" s="665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</row>
    <row r="24" spans="1:68" s="204" customFormat="1" ht="20.25" hidden="1" customHeight="1">
      <c r="A24" s="772"/>
      <c r="B24" s="773"/>
      <c r="C24" s="645" t="s">
        <v>713</v>
      </c>
      <c r="D24" s="652" t="e">
        <f>#REF!</f>
        <v>#REF!</v>
      </c>
      <c r="E24" s="290" t="str">
        <f>G23</f>
        <v>m2</v>
      </c>
      <c r="F24" s="652" t="s">
        <v>716</v>
      </c>
      <c r="G24" s="775"/>
      <c r="H24" s="776"/>
      <c r="I24" s="674"/>
      <c r="J24" s="665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</row>
    <row r="25" spans="1:68" s="204" customFormat="1" ht="20.25" hidden="1" customHeight="1">
      <c r="A25" s="276" t="s">
        <v>34</v>
      </c>
      <c r="B25" s="276" t="s">
        <v>845</v>
      </c>
      <c r="C25" s="741" t="s">
        <v>847</v>
      </c>
      <c r="D25" s="741" t="s">
        <v>8</v>
      </c>
      <c r="E25" s="741"/>
      <c r="F25" s="741"/>
      <c r="G25" s="655" t="s">
        <v>8</v>
      </c>
      <c r="H25" s="655"/>
      <c r="I25" s="674"/>
      <c r="J25" s="665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</row>
    <row r="26" spans="1:68" s="204" customFormat="1" ht="36" hidden="1" customHeight="1">
      <c r="A26" s="593">
        <v>44</v>
      </c>
      <c r="B26" s="656" t="s">
        <v>846</v>
      </c>
      <c r="C26" s="771" t="s">
        <v>915</v>
      </c>
      <c r="D26" s="771"/>
      <c r="E26" s="771"/>
      <c r="F26" s="771"/>
      <c r="G26" s="289" t="s">
        <v>919</v>
      </c>
      <c r="H26" s="671" t="e">
        <f>SUM(#REF!)</f>
        <v>#REF!</v>
      </c>
      <c r="I26" s="674"/>
      <c r="J26" s="665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</row>
    <row r="27" spans="1:68" s="204" customFormat="1" ht="45.75" hidden="1" customHeight="1">
      <c r="A27" s="775"/>
      <c r="B27" s="773"/>
      <c r="C27" s="774" t="s">
        <v>940</v>
      </c>
      <c r="D27" s="774"/>
      <c r="E27" s="774"/>
      <c r="F27" s="774"/>
      <c r="G27" s="775" t="s">
        <v>920</v>
      </c>
      <c r="H27" s="776" t="s">
        <v>34</v>
      </c>
      <c r="I27" s="674"/>
      <c r="J27" s="665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</row>
    <row r="28" spans="1:68" s="204" customFormat="1" ht="24.75" hidden="1" customHeight="1">
      <c r="A28" s="775"/>
      <c r="B28" s="773"/>
      <c r="C28" s="645" t="s">
        <v>713</v>
      </c>
      <c r="D28" s="652" t="e">
        <f>#REF!</f>
        <v>#REF!</v>
      </c>
      <c r="E28" s="290" t="str">
        <f>G27</f>
        <v>m2</v>
      </c>
      <c r="F28" s="652" t="s">
        <v>811</v>
      </c>
      <c r="G28" s="775"/>
      <c r="H28" s="776"/>
      <c r="I28" s="674"/>
      <c r="J28" s="665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</row>
    <row r="29" spans="1:68" s="204" customFormat="1" ht="34.5" hidden="1" customHeight="1">
      <c r="A29" s="64" t="s">
        <v>34</v>
      </c>
      <c r="B29" s="276" t="s">
        <v>848</v>
      </c>
      <c r="C29" s="741" t="s">
        <v>849</v>
      </c>
      <c r="D29" s="741" t="s">
        <v>8</v>
      </c>
      <c r="E29" s="741"/>
      <c r="F29" s="741"/>
      <c r="G29" s="655" t="s">
        <v>8</v>
      </c>
      <c r="H29" s="655"/>
      <c r="I29" s="674"/>
      <c r="J29" s="665"/>
      <c r="K29" s="59"/>
      <c r="L29" s="59" t="s">
        <v>1081</v>
      </c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</row>
    <row r="30" spans="1:68" s="204" customFormat="1" ht="20.25" hidden="1" customHeight="1">
      <c r="A30" s="458">
        <v>29</v>
      </c>
      <c r="B30" s="656" t="s">
        <v>846</v>
      </c>
      <c r="C30" s="771" t="s">
        <v>844</v>
      </c>
      <c r="D30" s="771"/>
      <c r="E30" s="771"/>
      <c r="F30" s="771"/>
      <c r="G30" s="289" t="s">
        <v>919</v>
      </c>
      <c r="H30" s="671" t="e">
        <f>SUM(#REF!)</f>
        <v>#REF!</v>
      </c>
      <c r="I30" s="674"/>
      <c r="J30" s="665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</row>
    <row r="31" spans="1:68" s="204" customFormat="1" ht="47.25" hidden="1" customHeight="1">
      <c r="A31" s="772"/>
      <c r="B31" s="773"/>
      <c r="C31" s="774" t="s">
        <v>843</v>
      </c>
      <c r="D31" s="774"/>
      <c r="E31" s="774"/>
      <c r="F31" s="774"/>
      <c r="G31" s="775" t="s">
        <v>920</v>
      </c>
      <c r="H31" s="776" t="s">
        <v>34</v>
      </c>
      <c r="I31" s="674"/>
      <c r="J31" s="66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</row>
    <row r="32" spans="1:68" s="204" customFormat="1" ht="20.25" hidden="1" customHeight="1">
      <c r="A32" s="772"/>
      <c r="B32" s="773"/>
      <c r="C32" s="645" t="s">
        <v>713</v>
      </c>
      <c r="D32" s="652" t="e">
        <f>#REF!</f>
        <v>#REF!</v>
      </c>
      <c r="E32" s="290" t="str">
        <f>G31</f>
        <v>m2</v>
      </c>
      <c r="F32" s="652" t="s">
        <v>811</v>
      </c>
      <c r="G32" s="775"/>
      <c r="H32" s="776"/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0.25" hidden="1" customHeight="1">
      <c r="A33" s="458">
        <v>30</v>
      </c>
      <c r="B33" s="656" t="s">
        <v>851</v>
      </c>
      <c r="C33" s="771" t="s">
        <v>852</v>
      </c>
      <c r="D33" s="771"/>
      <c r="E33" s="771"/>
      <c r="F33" s="771"/>
      <c r="G33" s="289" t="s">
        <v>919</v>
      </c>
      <c r="H33" s="671" t="e">
        <f>SUM(#REF!)</f>
        <v>#REF!</v>
      </c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45.75" hidden="1" customHeight="1">
      <c r="A34" s="772"/>
      <c r="B34" s="773"/>
      <c r="C34" s="774" t="s">
        <v>853</v>
      </c>
      <c r="D34" s="774"/>
      <c r="E34" s="774"/>
      <c r="F34" s="774"/>
      <c r="G34" s="775" t="s">
        <v>920</v>
      </c>
      <c r="H34" s="776" t="s">
        <v>34</v>
      </c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20.25" hidden="1" customHeight="1">
      <c r="A35" s="772"/>
      <c r="B35" s="773"/>
      <c r="C35" s="645" t="s">
        <v>713</v>
      </c>
      <c r="D35" s="652" t="e">
        <f>#REF!</f>
        <v>#REF!</v>
      </c>
      <c r="E35" s="290" t="str">
        <f>G34</f>
        <v>m2</v>
      </c>
      <c r="F35" s="652" t="s">
        <v>811</v>
      </c>
      <c r="G35" s="775"/>
      <c r="H35" s="776"/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20.25" customHeight="1">
      <c r="A36" s="571"/>
      <c r="B36" s="64" t="s">
        <v>116</v>
      </c>
      <c r="C36" s="736" t="s">
        <v>776</v>
      </c>
      <c r="D36" s="736"/>
      <c r="E36" s="736"/>
      <c r="F36" s="736"/>
      <c r="G36" s="736"/>
      <c r="H36" s="736"/>
      <c r="I36" s="736"/>
      <c r="J36" s="736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36.75" customHeight="1">
      <c r="A37" s="679" t="s">
        <v>1025</v>
      </c>
      <c r="B37" s="564" t="s">
        <v>213</v>
      </c>
      <c r="C37" s="769" t="s">
        <v>1021</v>
      </c>
      <c r="D37" s="769"/>
      <c r="E37" s="769"/>
      <c r="F37" s="769"/>
      <c r="G37" s="458" t="s">
        <v>176</v>
      </c>
      <c r="H37" s="566">
        <v>18</v>
      </c>
      <c r="I37" s="389"/>
      <c r="J37" s="662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22.5" customHeight="1">
      <c r="A38" s="64" t="s">
        <v>34</v>
      </c>
      <c r="B38" s="64" t="s">
        <v>21</v>
      </c>
      <c r="C38" s="736" t="s">
        <v>1078</v>
      </c>
      <c r="D38" s="736"/>
      <c r="E38" s="736"/>
      <c r="F38" s="736"/>
      <c r="G38" s="736"/>
      <c r="H38" s="736"/>
      <c r="I38" s="736"/>
      <c r="J38" s="736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</row>
    <row r="39" spans="1:68" s="204" customFormat="1" ht="30.75" hidden="1" customHeight="1">
      <c r="A39" s="289">
        <v>45</v>
      </c>
      <c r="B39" s="656" t="s">
        <v>816</v>
      </c>
      <c r="C39" s="771" t="s">
        <v>935</v>
      </c>
      <c r="D39" s="771"/>
      <c r="E39" s="771"/>
      <c r="F39" s="771"/>
      <c r="G39" s="289" t="s">
        <v>924</v>
      </c>
      <c r="H39" s="671" t="e">
        <f>SUM(#REF!)</f>
        <v>#REF!</v>
      </c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</row>
    <row r="40" spans="1:68" s="204" customFormat="1" ht="36.75" hidden="1" customHeight="1">
      <c r="A40" s="775"/>
      <c r="B40" s="777"/>
      <c r="C40" s="774" t="s">
        <v>936</v>
      </c>
      <c r="D40" s="774"/>
      <c r="E40" s="774"/>
      <c r="F40" s="774"/>
      <c r="G40" s="775" t="s">
        <v>924</v>
      </c>
      <c r="H40" s="776" t="s">
        <v>34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</row>
    <row r="41" spans="1:68" s="204" customFormat="1" ht="30" hidden="1" customHeight="1">
      <c r="A41" s="775"/>
      <c r="B41" s="777"/>
      <c r="C41" s="645" t="s">
        <v>713</v>
      </c>
      <c r="D41" s="652" t="e">
        <f>#REF!</f>
        <v>#REF!</v>
      </c>
      <c r="E41" s="290" t="s">
        <v>924</v>
      </c>
      <c r="F41" s="652" t="s">
        <v>716</v>
      </c>
      <c r="G41" s="775"/>
      <c r="H41" s="776"/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</row>
    <row r="42" spans="1:68" s="204" customFormat="1" ht="43.5" customHeight="1">
      <c r="A42" s="86">
        <v>5</v>
      </c>
      <c r="B42" s="564" t="s">
        <v>1008</v>
      </c>
      <c r="C42" s="778" t="s">
        <v>1080</v>
      </c>
      <c r="D42" s="778"/>
      <c r="E42" s="778"/>
      <c r="F42" s="778"/>
      <c r="G42" s="86" t="s">
        <v>176</v>
      </c>
      <c r="H42" s="77">
        <f>150*3*1.05</f>
        <v>472.5</v>
      </c>
      <c r="I42" s="77"/>
      <c r="J42" s="662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</row>
    <row r="43" spans="1:68" s="41" customFormat="1" ht="35.25" customHeight="1">
      <c r="A43" s="21"/>
      <c r="B43" s="448" t="s">
        <v>60</v>
      </c>
      <c r="C43" s="737" t="s">
        <v>183</v>
      </c>
      <c r="D43" s="737"/>
      <c r="E43" s="737"/>
      <c r="F43" s="737"/>
      <c r="G43" s="737"/>
      <c r="H43" s="737"/>
      <c r="I43" s="737"/>
      <c r="J43" s="737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8" customFormat="1" ht="19.5" customHeight="1">
      <c r="A44" s="64" t="s">
        <v>34</v>
      </c>
      <c r="B44" s="571" t="s">
        <v>23</v>
      </c>
      <c r="C44" s="736" t="s">
        <v>167</v>
      </c>
      <c r="D44" s="736"/>
      <c r="E44" s="736"/>
      <c r="F44" s="736"/>
      <c r="G44" s="736" t="s">
        <v>8</v>
      </c>
      <c r="H44" s="736"/>
      <c r="I44" s="736"/>
      <c r="J44" s="736"/>
    </row>
    <row r="45" spans="1:68" s="11" customFormat="1" ht="28.5" customHeight="1">
      <c r="A45" s="86">
        <v>6</v>
      </c>
      <c r="B45" s="432" t="s">
        <v>0</v>
      </c>
      <c r="C45" s="778" t="s">
        <v>74</v>
      </c>
      <c r="D45" s="778"/>
      <c r="E45" s="778"/>
      <c r="F45" s="778"/>
      <c r="G45" s="86" t="s">
        <v>176</v>
      </c>
      <c r="H45" s="87">
        <f>H9/2</f>
        <v>75</v>
      </c>
      <c r="I45" s="566"/>
      <c r="J45" s="662"/>
    </row>
    <row r="46" spans="1:68" s="8" customFormat="1" ht="38.25" hidden="1" customHeight="1">
      <c r="A46" s="779"/>
      <c r="B46" s="780"/>
      <c r="C46" s="781" t="s">
        <v>983</v>
      </c>
      <c r="D46" s="781"/>
      <c r="E46" s="781"/>
      <c r="F46" s="781"/>
      <c r="G46" s="772" t="s">
        <v>177</v>
      </c>
      <c r="H46" s="782" t="s">
        <v>34</v>
      </c>
      <c r="I46" s="106"/>
      <c r="J46" s="662" t="e">
        <f t="shared" ref="J46:J47" si="0">H46*I46</f>
        <v>#VALUE!</v>
      </c>
    </row>
    <row r="47" spans="1:68" s="8" customFormat="1" ht="16.5" hidden="1" customHeight="1">
      <c r="A47" s="779"/>
      <c r="B47" s="780"/>
      <c r="C47" s="672" t="s">
        <v>713</v>
      </c>
      <c r="D47" s="67" t="e">
        <f>#REF!</f>
        <v>#REF!</v>
      </c>
      <c r="E47" s="109" t="str">
        <f>G46</f>
        <v>m2</v>
      </c>
      <c r="F47" s="67" t="s">
        <v>715</v>
      </c>
      <c r="G47" s="772"/>
      <c r="H47" s="782"/>
      <c r="I47" s="106"/>
      <c r="J47" s="662">
        <f t="shared" si="0"/>
        <v>0</v>
      </c>
    </row>
    <row r="48" spans="1:68" s="8" customFormat="1" ht="19.5" customHeight="1">
      <c r="A48" s="64" t="s">
        <v>34</v>
      </c>
      <c r="B48" s="450" t="s">
        <v>976</v>
      </c>
      <c r="C48" s="736" t="s">
        <v>975</v>
      </c>
      <c r="D48" s="736"/>
      <c r="E48" s="736"/>
      <c r="F48" s="736"/>
      <c r="G48" s="736" t="s">
        <v>8</v>
      </c>
      <c r="H48" s="736"/>
      <c r="I48" s="736"/>
      <c r="J48" s="736"/>
    </row>
    <row r="49" spans="1:10" s="11" customFormat="1" ht="29.25" customHeight="1">
      <c r="A49" s="86">
        <v>7</v>
      </c>
      <c r="B49" s="432" t="s">
        <v>977</v>
      </c>
      <c r="C49" s="778" t="s">
        <v>1013</v>
      </c>
      <c r="D49" s="778"/>
      <c r="E49" s="778"/>
      <c r="F49" s="778"/>
      <c r="G49" s="86" t="s">
        <v>176</v>
      </c>
      <c r="H49" s="87">
        <f>150*2*0.5</f>
        <v>150</v>
      </c>
      <c r="I49" s="77"/>
      <c r="J49" s="662"/>
    </row>
    <row r="50" spans="1:10" ht="21" customHeight="1">
      <c r="A50" s="783" t="s">
        <v>1014</v>
      </c>
      <c r="B50" s="783"/>
      <c r="C50" s="783"/>
      <c r="D50" s="783"/>
      <c r="E50" s="783"/>
      <c r="F50" s="783"/>
      <c r="G50" s="783"/>
      <c r="H50" s="783"/>
      <c r="I50" s="783"/>
      <c r="J50" s="592"/>
    </row>
    <row r="51" spans="1:10" ht="21" customHeight="1">
      <c r="A51" s="783" t="s">
        <v>76</v>
      </c>
      <c r="B51" s="783"/>
      <c r="C51" s="783"/>
      <c r="D51" s="783"/>
      <c r="E51" s="783"/>
      <c r="F51" s="783"/>
      <c r="G51" s="783"/>
      <c r="H51" s="783"/>
      <c r="I51" s="783"/>
      <c r="J51" s="592"/>
    </row>
    <row r="52" spans="1:10" ht="21" customHeight="1">
      <c r="A52" s="783" t="s">
        <v>90</v>
      </c>
      <c r="B52" s="783"/>
      <c r="C52" s="783"/>
      <c r="D52" s="783"/>
      <c r="E52" s="783"/>
      <c r="F52" s="783"/>
      <c r="G52" s="783"/>
      <c r="H52" s="783"/>
      <c r="I52" s="783"/>
      <c r="J52" s="592"/>
    </row>
    <row r="53" spans="1:10" ht="21" customHeight="1">
      <c r="A53" s="553"/>
      <c r="B53" s="553"/>
      <c r="C53" s="554"/>
      <c r="D53" s="556"/>
      <c r="E53" s="555"/>
      <c r="F53" s="555"/>
      <c r="G53" s="500"/>
      <c r="H53" s="547"/>
    </row>
    <row r="54" spans="1:10" ht="12.75" customHeight="1">
      <c r="B54" s="494"/>
      <c r="C54" s="507"/>
      <c r="D54" s="504"/>
      <c r="E54" s="494"/>
      <c r="F54" s="526"/>
      <c r="G54" s="526"/>
    </row>
    <row r="55" spans="1:10" ht="12.75" customHeight="1">
      <c r="B55" s="494"/>
      <c r="C55" s="507"/>
      <c r="D55" s="504"/>
      <c r="E55" s="494"/>
      <c r="F55" s="526"/>
      <c r="G55" s="526"/>
    </row>
    <row r="56" spans="1:10" ht="12.75" customHeight="1">
      <c r="B56" s="494"/>
      <c r="C56" s="507"/>
      <c r="D56" s="504"/>
      <c r="E56" s="494"/>
      <c r="F56" s="526"/>
      <c r="G56" s="526"/>
    </row>
    <row r="57" spans="1:10" ht="12.75" customHeight="1">
      <c r="B57" s="494"/>
      <c r="C57" s="507"/>
      <c r="D57" s="504"/>
      <c r="E57" s="494"/>
      <c r="F57" s="526"/>
      <c r="G57" s="526"/>
    </row>
  </sheetData>
  <mergeCells count="79">
    <mergeCell ref="C48:J48"/>
    <mergeCell ref="C49:F49"/>
    <mergeCell ref="A50:I50"/>
    <mergeCell ref="A51:I51"/>
    <mergeCell ref="A52:I52"/>
    <mergeCell ref="C42:F42"/>
    <mergeCell ref="C43:J43"/>
    <mergeCell ref="C44:J44"/>
    <mergeCell ref="C45:F45"/>
    <mergeCell ref="A46:A47"/>
    <mergeCell ref="B46:B47"/>
    <mergeCell ref="C46:F46"/>
    <mergeCell ref="G46:G47"/>
    <mergeCell ref="H46:H47"/>
    <mergeCell ref="C36:J36"/>
    <mergeCell ref="C37:F37"/>
    <mergeCell ref="C38:J38"/>
    <mergeCell ref="C39:F39"/>
    <mergeCell ref="A40:A41"/>
    <mergeCell ref="B40:B41"/>
    <mergeCell ref="C40:F40"/>
    <mergeCell ref="G40:G41"/>
    <mergeCell ref="H40:H41"/>
    <mergeCell ref="H34:H35"/>
    <mergeCell ref="H27:H28"/>
    <mergeCell ref="C29:F29"/>
    <mergeCell ref="C30:F30"/>
    <mergeCell ref="A31:A32"/>
    <mergeCell ref="B31:B32"/>
    <mergeCell ref="C31:F31"/>
    <mergeCell ref="G31:G32"/>
    <mergeCell ref="H31:H32"/>
    <mergeCell ref="G27:G28"/>
    <mergeCell ref="C33:F33"/>
    <mergeCell ref="A34:A35"/>
    <mergeCell ref="B34:B35"/>
    <mergeCell ref="C34:F34"/>
    <mergeCell ref="G34:G35"/>
    <mergeCell ref="C25:F25"/>
    <mergeCell ref="C26:F26"/>
    <mergeCell ref="A27:A28"/>
    <mergeCell ref="B27:B28"/>
    <mergeCell ref="C27:F27"/>
    <mergeCell ref="C19:F19"/>
    <mergeCell ref="C20:J20"/>
    <mergeCell ref="C21:H21"/>
    <mergeCell ref="C22:F22"/>
    <mergeCell ref="A23:A24"/>
    <mergeCell ref="B23:B24"/>
    <mergeCell ref="C23:F23"/>
    <mergeCell ref="G23:G24"/>
    <mergeCell ref="H23:H24"/>
    <mergeCell ref="C17:J17"/>
    <mergeCell ref="C18:J18"/>
    <mergeCell ref="C12:J12"/>
    <mergeCell ref="C13:J13"/>
    <mergeCell ref="C14:F14"/>
    <mergeCell ref="A15:A16"/>
    <mergeCell ref="B15:B16"/>
    <mergeCell ref="C15:F15"/>
    <mergeCell ref="G15:G16"/>
    <mergeCell ref="H15:H16"/>
    <mergeCell ref="C8:J8"/>
    <mergeCell ref="C9:F9"/>
    <mergeCell ref="A10:A11"/>
    <mergeCell ref="B10:B11"/>
    <mergeCell ref="C10:F10"/>
    <mergeCell ref="G10:G11"/>
    <mergeCell ref="H10:H11"/>
    <mergeCell ref="A1:J1"/>
    <mergeCell ref="A2:J2"/>
    <mergeCell ref="C3:F3"/>
    <mergeCell ref="B4:J4"/>
    <mergeCell ref="C5:J5"/>
    <mergeCell ref="A6:A7"/>
    <mergeCell ref="B6:B7"/>
    <mergeCell ref="C6:F6"/>
    <mergeCell ref="G6:G7"/>
    <mergeCell ref="H6:H7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6"/>
  <sheetViews>
    <sheetView view="pageBreakPreview" zoomScaleNormal="100" zoomScaleSheetLayoutView="100" workbookViewId="0">
      <selection sqref="A1:J1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44" t="s">
        <v>1084</v>
      </c>
      <c r="B1" s="744"/>
      <c r="C1" s="744"/>
      <c r="D1" s="744"/>
      <c r="E1" s="744"/>
      <c r="F1" s="744"/>
      <c r="G1" s="744"/>
      <c r="H1" s="744"/>
      <c r="I1" s="744"/>
      <c r="J1" s="744"/>
    </row>
    <row r="2" spans="1:18" s="4" customFormat="1" ht="39" customHeight="1">
      <c r="A2" s="760" t="s">
        <v>1030</v>
      </c>
      <c r="B2" s="760"/>
      <c r="C2" s="760"/>
      <c r="D2" s="760"/>
      <c r="E2" s="760"/>
      <c r="F2" s="760"/>
      <c r="G2" s="760"/>
      <c r="H2" s="760"/>
      <c r="I2" s="760"/>
      <c r="J2" s="760"/>
    </row>
    <row r="3" spans="1:18" ht="45" customHeight="1">
      <c r="A3" s="74" t="s">
        <v>3</v>
      </c>
      <c r="B3" s="449" t="s">
        <v>199</v>
      </c>
      <c r="C3" s="755" t="s">
        <v>4</v>
      </c>
      <c r="D3" s="755"/>
      <c r="E3" s="755"/>
      <c r="F3" s="755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61" t="s">
        <v>1006</v>
      </c>
      <c r="C4" s="761"/>
      <c r="D4" s="761"/>
      <c r="E4" s="761"/>
      <c r="F4" s="761"/>
      <c r="G4" s="761"/>
      <c r="H4" s="761"/>
      <c r="I4" s="761"/>
      <c r="J4" s="761"/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</row>
    <row r="6" spans="1:18" ht="44.25" hidden="1" customHeight="1">
      <c r="A6" s="755"/>
      <c r="B6" s="756"/>
      <c r="C6" s="757" t="s">
        <v>733</v>
      </c>
      <c r="D6" s="757"/>
      <c r="E6" s="757"/>
      <c r="F6" s="757"/>
      <c r="G6" s="758" t="s">
        <v>177</v>
      </c>
      <c r="H6" s="759" t="s">
        <v>34</v>
      </c>
      <c r="I6" s="377"/>
      <c r="J6" s="521"/>
    </row>
    <row r="7" spans="1:18" ht="21.75" hidden="1" customHeight="1">
      <c r="A7" s="755"/>
      <c r="B7" s="756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58"/>
      <c r="H7" s="759"/>
      <c r="I7" s="377"/>
      <c r="J7" s="521"/>
    </row>
    <row r="8" spans="1:18" ht="18" customHeight="1">
      <c r="A8" s="64" t="s">
        <v>34</v>
      </c>
      <c r="B8" s="571" t="s">
        <v>14</v>
      </c>
      <c r="C8" s="736" t="s">
        <v>108</v>
      </c>
      <c r="D8" s="736"/>
      <c r="E8" s="736"/>
      <c r="F8" s="736"/>
      <c r="G8" s="736"/>
      <c r="H8" s="736"/>
      <c r="I8" s="736"/>
      <c r="J8" s="736"/>
    </row>
    <row r="9" spans="1:18" s="14" customFormat="1" ht="31.5" customHeight="1">
      <c r="A9" s="74">
        <v>1</v>
      </c>
      <c r="B9" s="449" t="s">
        <v>952</v>
      </c>
      <c r="C9" s="762" t="s">
        <v>1018</v>
      </c>
      <c r="D9" s="762"/>
      <c r="E9" s="762"/>
      <c r="F9" s="762"/>
      <c r="G9" s="74" t="s">
        <v>176</v>
      </c>
      <c r="H9" s="78">
        <f>85*1</f>
        <v>85</v>
      </c>
      <c r="I9" s="78"/>
      <c r="J9" s="662"/>
    </row>
    <row r="10" spans="1:18" ht="54" hidden="1" customHeight="1">
      <c r="A10" s="755"/>
      <c r="B10" s="763"/>
      <c r="C10" s="764" t="s">
        <v>969</v>
      </c>
      <c r="D10" s="764"/>
      <c r="E10" s="764"/>
      <c r="F10" s="764"/>
      <c r="G10" s="758" t="s">
        <v>177</v>
      </c>
      <c r="H10" s="765" t="s">
        <v>34</v>
      </c>
      <c r="I10" s="377"/>
      <c r="J10" s="521"/>
    </row>
    <row r="11" spans="1:18" ht="21" hidden="1" customHeight="1">
      <c r="A11" s="755"/>
      <c r="B11" s="763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58"/>
      <c r="H11" s="765"/>
      <c r="I11" s="377"/>
      <c r="J11" s="521"/>
    </row>
    <row r="12" spans="1:18" ht="17.25" customHeight="1">
      <c r="A12" s="64" t="s">
        <v>34</v>
      </c>
      <c r="B12" s="571" t="s">
        <v>15</v>
      </c>
      <c r="C12" s="736" t="s">
        <v>10</v>
      </c>
      <c r="D12" s="736"/>
      <c r="E12" s="736"/>
      <c r="F12" s="736"/>
      <c r="G12" s="736"/>
      <c r="H12" s="736"/>
      <c r="I12" s="736"/>
      <c r="J12" s="736"/>
      <c r="R12" s="40">
        <v>13</v>
      </c>
    </row>
    <row r="13" spans="1:18" ht="25.5" hidden="1" customHeight="1">
      <c r="A13" s="786"/>
      <c r="B13" s="787"/>
      <c r="C13" s="788" t="s">
        <v>974</v>
      </c>
      <c r="D13" s="788"/>
      <c r="E13" s="788"/>
      <c r="F13" s="788"/>
      <c r="G13" s="789" t="s">
        <v>920</v>
      </c>
      <c r="H13" s="790" t="s">
        <v>34</v>
      </c>
      <c r="I13" s="377"/>
      <c r="J13" s="521"/>
      <c r="M13" s="784"/>
      <c r="N13" s="784"/>
      <c r="O13" s="784"/>
      <c r="P13" s="784"/>
    </row>
    <row r="14" spans="1:18" ht="20.25" hidden="1" customHeight="1">
      <c r="A14" s="786"/>
      <c r="B14" s="787"/>
      <c r="C14" s="645" t="s">
        <v>713</v>
      </c>
      <c r="D14" s="652" t="e">
        <f>#REF!</f>
        <v>#REF!</v>
      </c>
      <c r="E14" s="290" t="s">
        <v>708</v>
      </c>
      <c r="F14" s="652" t="s">
        <v>718</v>
      </c>
      <c r="G14" s="789"/>
      <c r="H14" s="790"/>
      <c r="I14" s="377"/>
      <c r="J14" s="521"/>
    </row>
    <row r="15" spans="1:18" ht="42.75" customHeight="1">
      <c r="A15" s="74">
        <v>2</v>
      </c>
      <c r="B15" s="641" t="s">
        <v>31</v>
      </c>
      <c r="C15" s="785" t="s">
        <v>1042</v>
      </c>
      <c r="D15" s="785"/>
      <c r="E15" s="785"/>
      <c r="F15" s="785"/>
      <c r="G15" s="74" t="s">
        <v>176</v>
      </c>
      <c r="H15" s="78">
        <v>16</v>
      </c>
      <c r="I15" s="78"/>
      <c r="J15" s="662"/>
    </row>
    <row r="16" spans="1:18" ht="32.25" customHeight="1">
      <c r="A16" s="21"/>
      <c r="B16" s="448" t="s">
        <v>111</v>
      </c>
      <c r="C16" s="737" t="s">
        <v>189</v>
      </c>
      <c r="D16" s="737"/>
      <c r="E16" s="737"/>
      <c r="F16" s="737"/>
      <c r="G16" s="737"/>
      <c r="H16" s="737"/>
      <c r="I16" s="737"/>
      <c r="J16" s="737"/>
    </row>
    <row r="17" spans="1:106" s="15" customFormat="1" ht="21" customHeight="1">
      <c r="A17" s="64" t="s">
        <v>34</v>
      </c>
      <c r="B17" s="571" t="s">
        <v>142</v>
      </c>
      <c r="C17" s="736" t="s">
        <v>147</v>
      </c>
      <c r="D17" s="736"/>
      <c r="E17" s="736"/>
      <c r="F17" s="736"/>
      <c r="G17" s="736"/>
      <c r="H17" s="736"/>
      <c r="I17" s="736"/>
      <c r="J17" s="736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</row>
    <row r="18" spans="1:106" s="15" customFormat="1" ht="37.5" customHeight="1">
      <c r="A18" s="74">
        <v>3</v>
      </c>
      <c r="B18" s="572" t="s">
        <v>143</v>
      </c>
      <c r="C18" s="768" t="s">
        <v>1046</v>
      </c>
      <c r="D18" s="768"/>
      <c r="E18" s="768"/>
      <c r="F18" s="768"/>
      <c r="G18" s="74" t="s">
        <v>179</v>
      </c>
      <c r="H18" s="78">
        <f>85*0.7</f>
        <v>59.5</v>
      </c>
      <c r="I18" s="78"/>
      <c r="J18" s="662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</row>
    <row r="19" spans="1:106" s="15" customFormat="1" ht="54" hidden="1" customHeight="1">
      <c r="A19" s="755"/>
      <c r="B19" s="766"/>
      <c r="C19" s="764" t="s">
        <v>978</v>
      </c>
      <c r="D19" s="764"/>
      <c r="E19" s="764"/>
      <c r="F19" s="764"/>
      <c r="G19" s="758" t="s">
        <v>178</v>
      </c>
      <c r="H19" s="767" t="s">
        <v>34</v>
      </c>
      <c r="I19" s="632"/>
      <c r="J19" s="66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18" hidden="1" customHeight="1">
      <c r="A20" s="755"/>
      <c r="B20" s="766"/>
      <c r="C20" s="672" t="s">
        <v>714</v>
      </c>
      <c r="D20" s="67" t="e">
        <f>#REF!</f>
        <v>#REF!</v>
      </c>
      <c r="E20" s="109" t="str">
        <f>G19</f>
        <v>m3</v>
      </c>
      <c r="F20" s="67" t="s">
        <v>716</v>
      </c>
      <c r="G20" s="758"/>
      <c r="H20" s="767"/>
      <c r="I20" s="632"/>
      <c r="J20" s="66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3" customFormat="1" ht="31.5" customHeight="1">
      <c r="A21" s="21"/>
      <c r="B21" s="448" t="s">
        <v>57</v>
      </c>
      <c r="C21" s="737" t="s">
        <v>181</v>
      </c>
      <c r="D21" s="737"/>
      <c r="E21" s="737"/>
      <c r="F21" s="737"/>
      <c r="G21" s="737"/>
      <c r="H21" s="737"/>
      <c r="I21" s="737"/>
      <c r="J21" s="737"/>
    </row>
    <row r="22" spans="1:106" s="1" customFormat="1" ht="18" customHeight="1">
      <c r="A22" s="64" t="s">
        <v>34</v>
      </c>
      <c r="B22" s="571" t="s">
        <v>98</v>
      </c>
      <c r="C22" s="736" t="s">
        <v>99</v>
      </c>
      <c r="D22" s="736"/>
      <c r="E22" s="736"/>
      <c r="F22" s="736"/>
      <c r="G22" s="736"/>
      <c r="H22" s="736"/>
      <c r="I22" s="736"/>
      <c r="J22" s="736"/>
    </row>
    <row r="23" spans="1:106" s="1" customFormat="1" ht="33" customHeight="1">
      <c r="A23" s="86">
        <v>4</v>
      </c>
      <c r="B23" s="431" t="s">
        <v>970</v>
      </c>
      <c r="C23" s="778" t="s">
        <v>1026</v>
      </c>
      <c r="D23" s="778"/>
      <c r="E23" s="778"/>
      <c r="F23" s="778"/>
      <c r="G23" s="86" t="s">
        <v>176</v>
      </c>
      <c r="H23" s="87">
        <f>85*1</f>
        <v>85</v>
      </c>
      <c r="I23" s="566"/>
      <c r="J23" s="662"/>
    </row>
    <row r="24" spans="1:106" s="1" customFormat="1" ht="33" customHeight="1">
      <c r="A24" s="64" t="s">
        <v>34</v>
      </c>
      <c r="B24" s="571" t="s">
        <v>114</v>
      </c>
      <c r="C24" s="736" t="s">
        <v>1024</v>
      </c>
      <c r="D24" s="736"/>
      <c r="E24" s="736"/>
      <c r="F24" s="736"/>
      <c r="G24" s="736"/>
      <c r="H24" s="736"/>
      <c r="I24" s="736"/>
      <c r="J24" s="736"/>
    </row>
    <row r="25" spans="1:106" s="1" customFormat="1" ht="33" customHeight="1">
      <c r="A25" s="86">
        <v>5</v>
      </c>
      <c r="B25" s="564" t="s">
        <v>162</v>
      </c>
      <c r="C25" s="778" t="s">
        <v>1023</v>
      </c>
      <c r="D25" s="778"/>
      <c r="E25" s="778"/>
      <c r="F25" s="778"/>
      <c r="G25" s="86" t="s">
        <v>176</v>
      </c>
      <c r="H25" s="87">
        <f>85*1</f>
        <v>85</v>
      </c>
      <c r="I25" s="566"/>
      <c r="J25" s="662"/>
    </row>
    <row r="26" spans="1:106" s="8" customFormat="1" ht="18" customHeight="1">
      <c r="A26" s="64" t="s">
        <v>34</v>
      </c>
      <c r="B26" s="571" t="s">
        <v>972</v>
      </c>
      <c r="C26" s="736" t="s">
        <v>20</v>
      </c>
      <c r="D26" s="736"/>
      <c r="E26" s="736"/>
      <c r="F26" s="736"/>
      <c r="G26" s="736"/>
      <c r="H26" s="736"/>
      <c r="I26" s="736"/>
      <c r="J26" s="736"/>
    </row>
    <row r="27" spans="1:106" s="8" customFormat="1" ht="45.75" customHeight="1">
      <c r="A27" s="86">
        <v>6</v>
      </c>
      <c r="B27" s="623" t="s">
        <v>1028</v>
      </c>
      <c r="C27" s="769" t="s">
        <v>1027</v>
      </c>
      <c r="D27" s="769"/>
      <c r="E27" s="769"/>
      <c r="F27" s="769"/>
      <c r="G27" s="86" t="s">
        <v>176</v>
      </c>
      <c r="H27" s="87">
        <f>85*3.2</f>
        <v>272</v>
      </c>
      <c r="I27" s="566"/>
      <c r="J27" s="662"/>
    </row>
    <row r="28" spans="1:106" s="8" customFormat="1" ht="34.5" customHeight="1">
      <c r="A28" s="86">
        <v>7</v>
      </c>
      <c r="B28" s="623" t="s">
        <v>984</v>
      </c>
      <c r="C28" s="769" t="s">
        <v>485</v>
      </c>
      <c r="D28" s="769"/>
      <c r="E28" s="769"/>
      <c r="F28" s="769"/>
      <c r="G28" s="86" t="s">
        <v>176</v>
      </c>
      <c r="H28" s="87">
        <f>85*1</f>
        <v>85</v>
      </c>
      <c r="I28" s="566"/>
      <c r="J28" s="662"/>
    </row>
    <row r="29" spans="1:106" s="8" customFormat="1" ht="33" customHeight="1">
      <c r="A29" s="524"/>
      <c r="B29" s="524" t="s">
        <v>59</v>
      </c>
      <c r="C29" s="770" t="s">
        <v>182</v>
      </c>
      <c r="D29" s="770"/>
      <c r="E29" s="770"/>
      <c r="F29" s="770"/>
      <c r="G29" s="770"/>
      <c r="H29" s="770"/>
      <c r="I29" s="770"/>
      <c r="J29" s="770"/>
      <c r="L29" s="8" t="s">
        <v>1081</v>
      </c>
    </row>
    <row r="30" spans="1:106" s="16" customFormat="1" ht="25.5" hidden="1" customHeight="1">
      <c r="A30" s="64" t="s">
        <v>34</v>
      </c>
      <c r="B30" s="276" t="s">
        <v>116</v>
      </c>
      <c r="C30" s="741" t="s">
        <v>776</v>
      </c>
      <c r="D30" s="741"/>
      <c r="E30" s="741"/>
      <c r="F30" s="741"/>
      <c r="G30" s="741" t="s">
        <v>8</v>
      </c>
      <c r="H30" s="741"/>
      <c r="I30" s="673"/>
      <c r="J30" s="66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</row>
    <row r="31" spans="1:106" s="204" customFormat="1" ht="29.25" hidden="1" customHeight="1">
      <c r="A31" s="86">
        <v>27</v>
      </c>
      <c r="B31" s="650" t="s">
        <v>116</v>
      </c>
      <c r="C31" s="771" t="s">
        <v>820</v>
      </c>
      <c r="D31" s="771"/>
      <c r="E31" s="771"/>
      <c r="F31" s="771"/>
      <c r="G31" s="289" t="s">
        <v>919</v>
      </c>
      <c r="H31" s="671" t="e">
        <f>SUM(#REF!)</f>
        <v>#REF!</v>
      </c>
      <c r="I31" s="674"/>
      <c r="J31" s="66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</row>
    <row r="32" spans="1:106" s="204" customFormat="1" ht="29.25" hidden="1" customHeight="1">
      <c r="A32" s="772"/>
      <c r="B32" s="773"/>
      <c r="C32" s="774" t="s">
        <v>778</v>
      </c>
      <c r="D32" s="774"/>
      <c r="E32" s="774"/>
      <c r="F32" s="774"/>
      <c r="G32" s="775" t="s">
        <v>920</v>
      </c>
      <c r="H32" s="776" t="s">
        <v>34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0.25" hidden="1" customHeight="1">
      <c r="A33" s="772"/>
      <c r="B33" s="773"/>
      <c r="C33" s="645" t="s">
        <v>713</v>
      </c>
      <c r="D33" s="652" t="e">
        <f>#REF!</f>
        <v>#REF!</v>
      </c>
      <c r="E33" s="290" t="str">
        <f>G32</f>
        <v>m2</v>
      </c>
      <c r="F33" s="652" t="s">
        <v>716</v>
      </c>
      <c r="G33" s="775"/>
      <c r="H33" s="776"/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276" t="s">
        <v>34</v>
      </c>
      <c r="B34" s="276" t="s">
        <v>845</v>
      </c>
      <c r="C34" s="741" t="s">
        <v>847</v>
      </c>
      <c r="D34" s="741" t="s">
        <v>8</v>
      </c>
      <c r="E34" s="741"/>
      <c r="F34" s="741"/>
      <c r="G34" s="655" t="s">
        <v>8</v>
      </c>
      <c r="H34" s="655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36" hidden="1" customHeight="1">
      <c r="A35" s="593">
        <v>44</v>
      </c>
      <c r="B35" s="656" t="s">
        <v>846</v>
      </c>
      <c r="C35" s="771" t="s">
        <v>915</v>
      </c>
      <c r="D35" s="771"/>
      <c r="E35" s="771"/>
      <c r="F35" s="771"/>
      <c r="G35" s="289" t="s">
        <v>919</v>
      </c>
      <c r="H35" s="671" t="e">
        <f>SUM(#REF!)</f>
        <v>#REF!</v>
      </c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45.75" hidden="1" customHeight="1">
      <c r="A36" s="775"/>
      <c r="B36" s="773"/>
      <c r="C36" s="774" t="s">
        <v>940</v>
      </c>
      <c r="D36" s="774"/>
      <c r="E36" s="774"/>
      <c r="F36" s="774"/>
      <c r="G36" s="775" t="s">
        <v>920</v>
      </c>
      <c r="H36" s="776" t="s">
        <v>34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24.75" hidden="1" customHeight="1">
      <c r="A37" s="775"/>
      <c r="B37" s="773"/>
      <c r="C37" s="645" t="s">
        <v>713</v>
      </c>
      <c r="D37" s="652" t="e">
        <f>#REF!</f>
        <v>#REF!</v>
      </c>
      <c r="E37" s="290" t="str">
        <f>G36</f>
        <v>m2</v>
      </c>
      <c r="F37" s="652" t="s">
        <v>811</v>
      </c>
      <c r="G37" s="775"/>
      <c r="H37" s="776"/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34.5" hidden="1" customHeight="1">
      <c r="A38" s="64" t="s">
        <v>34</v>
      </c>
      <c r="B38" s="276" t="s">
        <v>848</v>
      </c>
      <c r="C38" s="741" t="s">
        <v>849</v>
      </c>
      <c r="D38" s="741" t="s">
        <v>8</v>
      </c>
      <c r="E38" s="741"/>
      <c r="F38" s="741"/>
      <c r="G38" s="655" t="s">
        <v>8</v>
      </c>
      <c r="H38" s="655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20.25" hidden="1" customHeight="1">
      <c r="A39" s="458">
        <v>29</v>
      </c>
      <c r="B39" s="656" t="s">
        <v>846</v>
      </c>
      <c r="C39" s="771" t="s">
        <v>844</v>
      </c>
      <c r="D39" s="771"/>
      <c r="E39" s="771"/>
      <c r="F39" s="771"/>
      <c r="G39" s="289" t="s">
        <v>919</v>
      </c>
      <c r="H39" s="671" t="e">
        <f>SUM(#REF!)</f>
        <v>#REF!</v>
      </c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47.25" hidden="1" customHeight="1">
      <c r="A40" s="772"/>
      <c r="B40" s="773"/>
      <c r="C40" s="774" t="s">
        <v>843</v>
      </c>
      <c r="D40" s="774"/>
      <c r="E40" s="774"/>
      <c r="F40" s="774"/>
      <c r="G40" s="775" t="s">
        <v>920</v>
      </c>
      <c r="H40" s="776" t="s">
        <v>34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20.25" hidden="1" customHeight="1">
      <c r="A41" s="772"/>
      <c r="B41" s="773"/>
      <c r="C41" s="645" t="s">
        <v>713</v>
      </c>
      <c r="D41" s="652" t="e">
        <f>#REF!</f>
        <v>#REF!</v>
      </c>
      <c r="E41" s="290" t="str">
        <f>G40</f>
        <v>m2</v>
      </c>
      <c r="F41" s="652" t="s">
        <v>811</v>
      </c>
      <c r="G41" s="775"/>
      <c r="H41" s="776"/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458">
        <v>30</v>
      </c>
      <c r="B42" s="656" t="s">
        <v>851</v>
      </c>
      <c r="C42" s="771" t="s">
        <v>852</v>
      </c>
      <c r="D42" s="771"/>
      <c r="E42" s="771"/>
      <c r="F42" s="771"/>
      <c r="G42" s="289" t="s">
        <v>919</v>
      </c>
      <c r="H42" s="671" t="e">
        <f>SUM(#REF!)</f>
        <v>#REF!</v>
      </c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45.75" hidden="1" customHeight="1">
      <c r="A43" s="772"/>
      <c r="B43" s="773"/>
      <c r="C43" s="774" t="s">
        <v>853</v>
      </c>
      <c r="D43" s="774"/>
      <c r="E43" s="774"/>
      <c r="F43" s="774"/>
      <c r="G43" s="775" t="s">
        <v>920</v>
      </c>
      <c r="H43" s="776" t="s">
        <v>34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20.25" hidden="1" customHeight="1">
      <c r="A44" s="772"/>
      <c r="B44" s="773"/>
      <c r="C44" s="645" t="s">
        <v>713</v>
      </c>
      <c r="D44" s="652" t="e">
        <f>#REF!</f>
        <v>#REF!</v>
      </c>
      <c r="E44" s="290" t="str">
        <f>G43</f>
        <v>m2</v>
      </c>
      <c r="F44" s="652" t="s">
        <v>811</v>
      </c>
      <c r="G44" s="775"/>
      <c r="H44" s="776"/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customHeight="1">
      <c r="A45" s="571"/>
      <c r="B45" s="64" t="s">
        <v>116</v>
      </c>
      <c r="C45" s="736" t="s">
        <v>776</v>
      </c>
      <c r="D45" s="736"/>
      <c r="E45" s="736"/>
      <c r="F45" s="736"/>
      <c r="G45" s="736"/>
      <c r="H45" s="736"/>
      <c r="I45" s="736"/>
      <c r="J45" s="736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36.75" customHeight="1">
      <c r="A46" s="679" t="s">
        <v>1022</v>
      </c>
      <c r="B46" s="564" t="s">
        <v>213</v>
      </c>
      <c r="C46" s="769" t="s">
        <v>1021</v>
      </c>
      <c r="D46" s="769"/>
      <c r="E46" s="769"/>
      <c r="F46" s="769"/>
      <c r="G46" s="458" t="s">
        <v>176</v>
      </c>
      <c r="H46" s="566">
        <v>10</v>
      </c>
      <c r="I46" s="389"/>
      <c r="J46" s="662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22.5" customHeight="1">
      <c r="A47" s="64" t="s">
        <v>34</v>
      </c>
      <c r="B47" s="64" t="s">
        <v>21</v>
      </c>
      <c r="C47" s="736" t="s">
        <v>1078</v>
      </c>
      <c r="D47" s="736"/>
      <c r="E47" s="736"/>
      <c r="F47" s="736"/>
      <c r="G47" s="736"/>
      <c r="H47" s="736"/>
      <c r="I47" s="736"/>
      <c r="J47" s="736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8" s="204" customFormat="1" ht="30.75" hidden="1" customHeight="1">
      <c r="A48" s="289">
        <v>45</v>
      </c>
      <c r="B48" s="656" t="s">
        <v>816</v>
      </c>
      <c r="C48" s="771" t="s">
        <v>935</v>
      </c>
      <c r="D48" s="771"/>
      <c r="E48" s="771"/>
      <c r="F48" s="771"/>
      <c r="G48" s="289" t="s">
        <v>924</v>
      </c>
      <c r="H48" s="671" t="e">
        <f>SUM(#REF!)</f>
        <v>#REF!</v>
      </c>
      <c r="I48" s="674"/>
      <c r="J48" s="665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6.75" hidden="1" customHeight="1">
      <c r="A49" s="775"/>
      <c r="B49" s="777"/>
      <c r="C49" s="774" t="s">
        <v>936</v>
      </c>
      <c r="D49" s="774"/>
      <c r="E49" s="774"/>
      <c r="F49" s="774"/>
      <c r="G49" s="775" t="s">
        <v>924</v>
      </c>
      <c r="H49" s="776" t="s">
        <v>34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0" hidden="1" customHeight="1">
      <c r="A50" s="775"/>
      <c r="B50" s="777"/>
      <c r="C50" s="645" t="s">
        <v>713</v>
      </c>
      <c r="D50" s="652" t="e">
        <f>#REF!</f>
        <v>#REF!</v>
      </c>
      <c r="E50" s="290" t="s">
        <v>924</v>
      </c>
      <c r="F50" s="652" t="s">
        <v>716</v>
      </c>
      <c r="G50" s="775"/>
      <c r="H50" s="776"/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43.5" customHeight="1">
      <c r="A51" s="86">
        <v>9</v>
      </c>
      <c r="B51" s="564" t="s">
        <v>1008</v>
      </c>
      <c r="C51" s="778" t="s">
        <v>1079</v>
      </c>
      <c r="D51" s="778"/>
      <c r="E51" s="778"/>
      <c r="F51" s="778"/>
      <c r="G51" s="86" t="s">
        <v>176</v>
      </c>
      <c r="H51" s="77">
        <f>85*3*1.05</f>
        <v>267.75</v>
      </c>
      <c r="I51" s="77"/>
      <c r="J51" s="662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41" customFormat="1" ht="35.25" customHeight="1">
      <c r="A52" s="21"/>
      <c r="B52" s="448" t="s">
        <v>60</v>
      </c>
      <c r="C52" s="737" t="s">
        <v>183</v>
      </c>
      <c r="D52" s="737"/>
      <c r="E52" s="737"/>
      <c r="F52" s="737"/>
      <c r="G52" s="737"/>
      <c r="H52" s="737"/>
      <c r="I52" s="737"/>
      <c r="J52" s="73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</row>
    <row r="53" spans="1:68" s="8" customFormat="1" ht="19.5" customHeight="1">
      <c r="A53" s="64" t="s">
        <v>34</v>
      </c>
      <c r="B53" s="571" t="s">
        <v>23</v>
      </c>
      <c r="C53" s="736" t="s">
        <v>167</v>
      </c>
      <c r="D53" s="736"/>
      <c r="E53" s="736"/>
      <c r="F53" s="736"/>
      <c r="G53" s="736" t="s">
        <v>8</v>
      </c>
      <c r="H53" s="736"/>
      <c r="I53" s="736"/>
      <c r="J53" s="736"/>
    </row>
    <row r="54" spans="1:68" s="11" customFormat="1" ht="28.5" customHeight="1">
      <c r="A54" s="86">
        <v>10</v>
      </c>
      <c r="B54" s="432" t="s">
        <v>0</v>
      </c>
      <c r="C54" s="778" t="s">
        <v>74</v>
      </c>
      <c r="D54" s="778"/>
      <c r="E54" s="778"/>
      <c r="F54" s="778"/>
      <c r="G54" s="86" t="s">
        <v>176</v>
      </c>
      <c r="H54" s="87">
        <f>H9/2</f>
        <v>42.5</v>
      </c>
      <c r="I54" s="566"/>
      <c r="J54" s="662"/>
    </row>
    <row r="55" spans="1:68" s="8" customFormat="1" ht="38.25" hidden="1" customHeight="1">
      <c r="A55" s="779"/>
      <c r="B55" s="780"/>
      <c r="C55" s="781" t="s">
        <v>983</v>
      </c>
      <c r="D55" s="781"/>
      <c r="E55" s="781"/>
      <c r="F55" s="781"/>
      <c r="G55" s="772" t="s">
        <v>177</v>
      </c>
      <c r="H55" s="782" t="s">
        <v>34</v>
      </c>
      <c r="I55" s="106"/>
      <c r="J55" s="662" t="e">
        <f t="shared" ref="J55:J56" si="0">H55*I55</f>
        <v>#VALUE!</v>
      </c>
    </row>
    <row r="56" spans="1:68" s="8" customFormat="1" ht="16.5" hidden="1" customHeight="1">
      <c r="A56" s="779"/>
      <c r="B56" s="780"/>
      <c r="C56" s="672" t="s">
        <v>713</v>
      </c>
      <c r="D56" s="67" t="e">
        <f>#REF!</f>
        <v>#REF!</v>
      </c>
      <c r="E56" s="109" t="str">
        <f>G55</f>
        <v>m2</v>
      </c>
      <c r="F56" s="67" t="s">
        <v>715</v>
      </c>
      <c r="G56" s="772"/>
      <c r="H56" s="782"/>
      <c r="I56" s="106"/>
      <c r="J56" s="662">
        <f t="shared" si="0"/>
        <v>0</v>
      </c>
    </row>
    <row r="57" spans="1:68" s="8" customFormat="1" ht="19.5" customHeight="1">
      <c r="A57" s="64" t="s">
        <v>34</v>
      </c>
      <c r="B57" s="450" t="s">
        <v>976</v>
      </c>
      <c r="C57" s="736" t="s">
        <v>975</v>
      </c>
      <c r="D57" s="736"/>
      <c r="E57" s="736"/>
      <c r="F57" s="736"/>
      <c r="G57" s="736" t="s">
        <v>8</v>
      </c>
      <c r="H57" s="736"/>
      <c r="I57" s="736"/>
      <c r="J57" s="736"/>
    </row>
    <row r="58" spans="1:68" s="11" customFormat="1" ht="29.25" customHeight="1">
      <c r="A58" s="86">
        <v>11</v>
      </c>
      <c r="B58" s="432" t="s">
        <v>977</v>
      </c>
      <c r="C58" s="778" t="s">
        <v>1013</v>
      </c>
      <c r="D58" s="778"/>
      <c r="E58" s="778"/>
      <c r="F58" s="778"/>
      <c r="G58" s="86" t="s">
        <v>176</v>
      </c>
      <c r="H58" s="87">
        <f>85*2*0.5</f>
        <v>85</v>
      </c>
      <c r="I58" s="77"/>
      <c r="J58" s="662"/>
    </row>
    <row r="59" spans="1:68" ht="21" customHeight="1">
      <c r="A59" s="783" t="s">
        <v>1014</v>
      </c>
      <c r="B59" s="783"/>
      <c r="C59" s="783"/>
      <c r="D59" s="783"/>
      <c r="E59" s="783"/>
      <c r="F59" s="783"/>
      <c r="G59" s="783"/>
      <c r="H59" s="783"/>
      <c r="I59" s="783"/>
      <c r="J59" s="592"/>
    </row>
    <row r="60" spans="1:68" ht="21" customHeight="1">
      <c r="A60" s="783" t="s">
        <v>76</v>
      </c>
      <c r="B60" s="783"/>
      <c r="C60" s="783"/>
      <c r="D60" s="783"/>
      <c r="E60" s="783"/>
      <c r="F60" s="783"/>
      <c r="G60" s="783"/>
      <c r="H60" s="783"/>
      <c r="I60" s="783"/>
      <c r="J60" s="592"/>
    </row>
    <row r="61" spans="1:68" ht="21" customHeight="1">
      <c r="A61" s="783" t="s">
        <v>90</v>
      </c>
      <c r="B61" s="783"/>
      <c r="C61" s="783"/>
      <c r="D61" s="783"/>
      <c r="E61" s="783"/>
      <c r="F61" s="783"/>
      <c r="G61" s="783"/>
      <c r="H61" s="783"/>
      <c r="I61" s="783"/>
      <c r="J61" s="592"/>
    </row>
    <row r="62" spans="1:68" ht="21" customHeight="1">
      <c r="A62" s="553"/>
      <c r="B62" s="553"/>
      <c r="C62" s="554"/>
      <c r="D62" s="556"/>
      <c r="E62" s="555"/>
      <c r="F62" s="555"/>
      <c r="G62" s="500"/>
      <c r="H62" s="547"/>
    </row>
    <row r="63" spans="1:68" ht="12.75" customHeight="1">
      <c r="B63" s="494"/>
      <c r="C63" s="507"/>
      <c r="D63" s="504"/>
      <c r="E63" s="494"/>
      <c r="F63" s="526"/>
      <c r="G63" s="526"/>
    </row>
    <row r="64" spans="1:68" ht="12.75" customHeight="1">
      <c r="B64" s="494"/>
      <c r="C64" s="507"/>
      <c r="D64" s="504"/>
      <c r="E64" s="494"/>
      <c r="F64" s="526"/>
      <c r="G64" s="526"/>
    </row>
    <row r="65" spans="2:7" ht="12.75" customHeight="1">
      <c r="B65" s="494"/>
      <c r="C65" s="507"/>
      <c r="D65" s="504"/>
      <c r="E65" s="494"/>
      <c r="F65" s="526"/>
      <c r="G65" s="526"/>
    </row>
    <row r="66" spans="2:7" ht="12.75" customHeight="1">
      <c r="B66" s="494"/>
      <c r="C66" s="507"/>
      <c r="D66" s="504"/>
      <c r="E66" s="494"/>
      <c r="F66" s="526"/>
      <c r="G66" s="526"/>
    </row>
  </sheetData>
  <mergeCells count="92">
    <mergeCell ref="A6:A7"/>
    <mergeCell ref="B6:B7"/>
    <mergeCell ref="C6:F6"/>
    <mergeCell ref="G6:G7"/>
    <mergeCell ref="H6:H7"/>
    <mergeCell ref="A1:J1"/>
    <mergeCell ref="A2:J2"/>
    <mergeCell ref="C3:F3"/>
    <mergeCell ref="B4:J4"/>
    <mergeCell ref="C5:J5"/>
    <mergeCell ref="C8:J8"/>
    <mergeCell ref="C9:F9"/>
    <mergeCell ref="A10:A11"/>
    <mergeCell ref="B10:B11"/>
    <mergeCell ref="C10:F10"/>
    <mergeCell ref="G10:G11"/>
    <mergeCell ref="H10:H11"/>
    <mergeCell ref="C12:J12"/>
    <mergeCell ref="A13:A14"/>
    <mergeCell ref="B13:B14"/>
    <mergeCell ref="C13:F13"/>
    <mergeCell ref="G13:G14"/>
    <mergeCell ref="H13:H14"/>
    <mergeCell ref="A19:A20"/>
    <mergeCell ref="B19:B20"/>
    <mergeCell ref="C19:F19"/>
    <mergeCell ref="G19:G20"/>
    <mergeCell ref="H19:H20"/>
    <mergeCell ref="C26:J26"/>
    <mergeCell ref="M13:P13"/>
    <mergeCell ref="C15:F15"/>
    <mergeCell ref="C16:J16"/>
    <mergeCell ref="C17:J17"/>
    <mergeCell ref="C18:F18"/>
    <mergeCell ref="C21:J21"/>
    <mergeCell ref="C22:J22"/>
    <mergeCell ref="C23:F23"/>
    <mergeCell ref="C24:J24"/>
    <mergeCell ref="C25:F25"/>
    <mergeCell ref="A32:A33"/>
    <mergeCell ref="B32:B33"/>
    <mergeCell ref="C32:F32"/>
    <mergeCell ref="G32:G33"/>
    <mergeCell ref="H32:H33"/>
    <mergeCell ref="C27:F27"/>
    <mergeCell ref="C28:F28"/>
    <mergeCell ref="C29:J29"/>
    <mergeCell ref="C30:H30"/>
    <mergeCell ref="C31:F31"/>
    <mergeCell ref="C34:F34"/>
    <mergeCell ref="C35:F35"/>
    <mergeCell ref="A36:A37"/>
    <mergeCell ref="B36:B37"/>
    <mergeCell ref="C36:F36"/>
    <mergeCell ref="H43:H44"/>
    <mergeCell ref="H36:H37"/>
    <mergeCell ref="C38:F38"/>
    <mergeCell ref="C39:F39"/>
    <mergeCell ref="A40:A41"/>
    <mergeCell ref="B40:B41"/>
    <mergeCell ref="C40:F40"/>
    <mergeCell ref="G40:G41"/>
    <mergeCell ref="H40:H41"/>
    <mergeCell ref="G36:G37"/>
    <mergeCell ref="C42:F42"/>
    <mergeCell ref="A43:A44"/>
    <mergeCell ref="B43:B44"/>
    <mergeCell ref="C43:F43"/>
    <mergeCell ref="G43:G44"/>
    <mergeCell ref="C45:J45"/>
    <mergeCell ref="C46:F46"/>
    <mergeCell ref="C47:J47"/>
    <mergeCell ref="C48:F48"/>
    <mergeCell ref="A49:A50"/>
    <mergeCell ref="B49:B50"/>
    <mergeCell ref="C49:F49"/>
    <mergeCell ref="G49:G50"/>
    <mergeCell ref="H49:H50"/>
    <mergeCell ref="C51:F51"/>
    <mergeCell ref="C52:J52"/>
    <mergeCell ref="C53:J53"/>
    <mergeCell ref="C54:F54"/>
    <mergeCell ref="A55:A56"/>
    <mergeCell ref="B55:B56"/>
    <mergeCell ref="C55:F55"/>
    <mergeCell ref="G55:G56"/>
    <mergeCell ref="H55:H56"/>
    <mergeCell ref="C57:J57"/>
    <mergeCell ref="C58:F58"/>
    <mergeCell ref="A59:I59"/>
    <mergeCell ref="A60:I60"/>
    <mergeCell ref="A61:I61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6"/>
  <sheetViews>
    <sheetView view="pageBreakPreview" zoomScaleNormal="100" zoomScaleSheetLayoutView="100" workbookViewId="0">
      <selection activeCell="A2" sqref="A2:J2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44" t="s">
        <v>1084</v>
      </c>
      <c r="B1" s="744"/>
      <c r="C1" s="744"/>
      <c r="D1" s="744"/>
      <c r="E1" s="744"/>
      <c r="F1" s="744"/>
      <c r="G1" s="744"/>
      <c r="H1" s="744"/>
      <c r="I1" s="744"/>
      <c r="J1" s="744"/>
    </row>
    <row r="2" spans="1:18" s="4" customFormat="1" ht="39" customHeight="1">
      <c r="A2" s="760" t="s">
        <v>1031</v>
      </c>
      <c r="B2" s="760"/>
      <c r="C2" s="760"/>
      <c r="D2" s="760"/>
      <c r="E2" s="760"/>
      <c r="F2" s="760"/>
      <c r="G2" s="760"/>
      <c r="H2" s="760"/>
      <c r="I2" s="760"/>
      <c r="J2" s="760"/>
    </row>
    <row r="3" spans="1:18" ht="45" customHeight="1">
      <c r="A3" s="74" t="s">
        <v>3</v>
      </c>
      <c r="B3" s="449" t="s">
        <v>199</v>
      </c>
      <c r="C3" s="755" t="s">
        <v>4</v>
      </c>
      <c r="D3" s="755"/>
      <c r="E3" s="755"/>
      <c r="F3" s="755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61" t="s">
        <v>1006</v>
      </c>
      <c r="C4" s="761"/>
      <c r="D4" s="761"/>
      <c r="E4" s="761"/>
      <c r="F4" s="761"/>
      <c r="G4" s="761"/>
      <c r="H4" s="761"/>
      <c r="I4" s="761"/>
      <c r="J4" s="761"/>
      <c r="M4" s="40" t="s">
        <v>1032</v>
      </c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  <c r="M5" s="1">
        <v>90</v>
      </c>
    </row>
    <row r="6" spans="1:18" ht="44.25" hidden="1" customHeight="1">
      <c r="A6" s="755"/>
      <c r="B6" s="756"/>
      <c r="C6" s="757" t="s">
        <v>733</v>
      </c>
      <c r="D6" s="757"/>
      <c r="E6" s="757"/>
      <c r="F6" s="757"/>
      <c r="G6" s="758" t="s">
        <v>177</v>
      </c>
      <c r="H6" s="759" t="s">
        <v>34</v>
      </c>
      <c r="I6" s="377"/>
      <c r="J6" s="521"/>
    </row>
    <row r="7" spans="1:18" ht="21.75" hidden="1" customHeight="1">
      <c r="A7" s="755"/>
      <c r="B7" s="756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58"/>
      <c r="H7" s="759"/>
      <c r="I7" s="377"/>
      <c r="J7" s="521"/>
    </row>
    <row r="8" spans="1:18" ht="18" customHeight="1">
      <c r="A8" s="64" t="s">
        <v>34</v>
      </c>
      <c r="B8" s="571" t="s">
        <v>14</v>
      </c>
      <c r="C8" s="736" t="s">
        <v>108</v>
      </c>
      <c r="D8" s="736"/>
      <c r="E8" s="736"/>
      <c r="F8" s="736"/>
      <c r="G8" s="736"/>
      <c r="H8" s="736"/>
      <c r="I8" s="736"/>
      <c r="J8" s="736"/>
    </row>
    <row r="9" spans="1:18" s="14" customFormat="1" ht="31.5" customHeight="1">
      <c r="A9" s="74">
        <v>1</v>
      </c>
      <c r="B9" s="449" t="s">
        <v>952</v>
      </c>
      <c r="C9" s="762" t="s">
        <v>1018</v>
      </c>
      <c r="D9" s="762"/>
      <c r="E9" s="762"/>
      <c r="F9" s="762"/>
      <c r="G9" s="74" t="s">
        <v>176</v>
      </c>
      <c r="H9" s="78">
        <f>M5*1</f>
        <v>90</v>
      </c>
      <c r="I9" s="78"/>
      <c r="J9" s="662"/>
    </row>
    <row r="10" spans="1:18" ht="54" hidden="1" customHeight="1">
      <c r="A10" s="755"/>
      <c r="B10" s="763"/>
      <c r="C10" s="764" t="s">
        <v>969</v>
      </c>
      <c r="D10" s="764"/>
      <c r="E10" s="764"/>
      <c r="F10" s="764"/>
      <c r="G10" s="758" t="s">
        <v>177</v>
      </c>
      <c r="H10" s="765" t="s">
        <v>34</v>
      </c>
      <c r="I10" s="377"/>
      <c r="J10" s="521"/>
    </row>
    <row r="11" spans="1:18" ht="21" hidden="1" customHeight="1">
      <c r="A11" s="755"/>
      <c r="B11" s="763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58"/>
      <c r="H11" s="765"/>
      <c r="I11" s="377"/>
      <c r="J11" s="521"/>
    </row>
    <row r="12" spans="1:18" ht="17.25" customHeight="1">
      <c r="A12" s="64" t="s">
        <v>34</v>
      </c>
      <c r="B12" s="571" t="s">
        <v>15</v>
      </c>
      <c r="C12" s="736" t="s">
        <v>10</v>
      </c>
      <c r="D12" s="736"/>
      <c r="E12" s="736"/>
      <c r="F12" s="736"/>
      <c r="G12" s="736"/>
      <c r="H12" s="736"/>
      <c r="I12" s="736"/>
      <c r="J12" s="736"/>
      <c r="R12" s="40">
        <v>13</v>
      </c>
    </row>
    <row r="13" spans="1:18" ht="25.5" hidden="1" customHeight="1">
      <c r="A13" s="786"/>
      <c r="B13" s="787"/>
      <c r="C13" s="788" t="s">
        <v>974</v>
      </c>
      <c r="D13" s="788"/>
      <c r="E13" s="788"/>
      <c r="F13" s="788"/>
      <c r="G13" s="789" t="s">
        <v>920</v>
      </c>
      <c r="H13" s="790" t="s">
        <v>34</v>
      </c>
      <c r="I13" s="377"/>
      <c r="J13" s="521"/>
      <c r="M13" s="784"/>
      <c r="N13" s="784"/>
      <c r="O13" s="784"/>
      <c r="P13" s="784"/>
    </row>
    <row r="14" spans="1:18" ht="20.25" hidden="1" customHeight="1">
      <c r="A14" s="786"/>
      <c r="B14" s="787"/>
      <c r="C14" s="645" t="s">
        <v>713</v>
      </c>
      <c r="D14" s="652" t="e">
        <f>#REF!</f>
        <v>#REF!</v>
      </c>
      <c r="E14" s="290" t="s">
        <v>708</v>
      </c>
      <c r="F14" s="652" t="s">
        <v>718</v>
      </c>
      <c r="G14" s="789"/>
      <c r="H14" s="790"/>
      <c r="I14" s="377"/>
      <c r="J14" s="521"/>
    </row>
    <row r="15" spans="1:18" ht="42.75" customHeight="1">
      <c r="A15" s="74">
        <v>2</v>
      </c>
      <c r="B15" s="641" t="s">
        <v>31</v>
      </c>
      <c r="C15" s="785" t="s">
        <v>1019</v>
      </c>
      <c r="D15" s="785"/>
      <c r="E15" s="785"/>
      <c r="F15" s="785"/>
      <c r="G15" s="74" t="s">
        <v>176</v>
      </c>
      <c r="H15" s="78">
        <v>16</v>
      </c>
      <c r="I15" s="78"/>
      <c r="J15" s="662"/>
    </row>
    <row r="16" spans="1:18" ht="32.25" customHeight="1">
      <c r="A16" s="21"/>
      <c r="B16" s="448" t="s">
        <v>111</v>
      </c>
      <c r="C16" s="737" t="s">
        <v>189</v>
      </c>
      <c r="D16" s="737"/>
      <c r="E16" s="737"/>
      <c r="F16" s="737"/>
      <c r="G16" s="737"/>
      <c r="H16" s="737"/>
      <c r="I16" s="737"/>
      <c r="J16" s="737"/>
    </row>
    <row r="17" spans="1:106" s="15" customFormat="1" ht="21" customHeight="1">
      <c r="A17" s="64" t="s">
        <v>34</v>
      </c>
      <c r="B17" s="571" t="s">
        <v>142</v>
      </c>
      <c r="C17" s="736" t="s">
        <v>147</v>
      </c>
      <c r="D17" s="736"/>
      <c r="E17" s="736"/>
      <c r="F17" s="736"/>
      <c r="G17" s="736"/>
      <c r="H17" s="736"/>
      <c r="I17" s="736"/>
      <c r="J17" s="736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</row>
    <row r="18" spans="1:106" s="15" customFormat="1" ht="37.5" customHeight="1">
      <c r="A18" s="74">
        <v>3</v>
      </c>
      <c r="B18" s="572" t="s">
        <v>143</v>
      </c>
      <c r="C18" s="768" t="s">
        <v>1046</v>
      </c>
      <c r="D18" s="768"/>
      <c r="E18" s="768"/>
      <c r="F18" s="768"/>
      <c r="G18" s="74" t="s">
        <v>179</v>
      </c>
      <c r="H18" s="78">
        <f>M5*0.7</f>
        <v>63</v>
      </c>
      <c r="I18" s="78"/>
      <c r="J18" s="662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</row>
    <row r="19" spans="1:106" s="15" customFormat="1" ht="54" hidden="1" customHeight="1">
      <c r="A19" s="755"/>
      <c r="B19" s="766"/>
      <c r="C19" s="764" t="s">
        <v>978</v>
      </c>
      <c r="D19" s="764"/>
      <c r="E19" s="764"/>
      <c r="F19" s="764"/>
      <c r="G19" s="758" t="s">
        <v>178</v>
      </c>
      <c r="H19" s="767" t="s">
        <v>34</v>
      </c>
      <c r="I19" s="632"/>
      <c r="J19" s="66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18" hidden="1" customHeight="1">
      <c r="A20" s="755"/>
      <c r="B20" s="766"/>
      <c r="C20" s="672" t="s">
        <v>714</v>
      </c>
      <c r="D20" s="67" t="e">
        <f>#REF!</f>
        <v>#REF!</v>
      </c>
      <c r="E20" s="109" t="str">
        <f>G19</f>
        <v>m3</v>
      </c>
      <c r="F20" s="67" t="s">
        <v>716</v>
      </c>
      <c r="G20" s="758"/>
      <c r="H20" s="767"/>
      <c r="I20" s="632"/>
      <c r="J20" s="66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3" customFormat="1" ht="31.5" customHeight="1">
      <c r="A21" s="21"/>
      <c r="B21" s="448" t="s">
        <v>57</v>
      </c>
      <c r="C21" s="737" t="s">
        <v>181</v>
      </c>
      <c r="D21" s="737"/>
      <c r="E21" s="737"/>
      <c r="F21" s="737"/>
      <c r="G21" s="737"/>
      <c r="H21" s="737"/>
      <c r="I21" s="737"/>
      <c r="J21" s="737"/>
    </row>
    <row r="22" spans="1:106" s="1" customFormat="1" ht="18" customHeight="1">
      <c r="A22" s="64" t="s">
        <v>34</v>
      </c>
      <c r="B22" s="571" t="s">
        <v>98</v>
      </c>
      <c r="C22" s="736" t="s">
        <v>99</v>
      </c>
      <c r="D22" s="736"/>
      <c r="E22" s="736"/>
      <c r="F22" s="736"/>
      <c r="G22" s="736"/>
      <c r="H22" s="736"/>
      <c r="I22" s="736"/>
      <c r="J22" s="736"/>
    </row>
    <row r="23" spans="1:106" s="1" customFormat="1" ht="33" customHeight="1">
      <c r="A23" s="86">
        <v>4</v>
      </c>
      <c r="B23" s="431" t="s">
        <v>970</v>
      </c>
      <c r="C23" s="778" t="s">
        <v>1026</v>
      </c>
      <c r="D23" s="778"/>
      <c r="E23" s="778"/>
      <c r="F23" s="778"/>
      <c r="G23" s="86" t="s">
        <v>176</v>
      </c>
      <c r="H23" s="87">
        <f>M5*1</f>
        <v>90</v>
      </c>
      <c r="I23" s="566"/>
      <c r="J23" s="662"/>
    </row>
    <row r="24" spans="1:106" s="1" customFormat="1" ht="33" customHeight="1">
      <c r="A24" s="64" t="s">
        <v>34</v>
      </c>
      <c r="B24" s="571" t="s">
        <v>114</v>
      </c>
      <c r="C24" s="736" t="s">
        <v>1024</v>
      </c>
      <c r="D24" s="736"/>
      <c r="E24" s="736"/>
      <c r="F24" s="736"/>
      <c r="G24" s="736"/>
      <c r="H24" s="736"/>
      <c r="I24" s="736"/>
      <c r="J24" s="736"/>
    </row>
    <row r="25" spans="1:106" s="1" customFormat="1" ht="33" customHeight="1">
      <c r="A25" s="86">
        <v>5</v>
      </c>
      <c r="B25" s="564" t="s">
        <v>162</v>
      </c>
      <c r="C25" s="778" t="s">
        <v>1023</v>
      </c>
      <c r="D25" s="778"/>
      <c r="E25" s="778"/>
      <c r="F25" s="778"/>
      <c r="G25" s="86" t="s">
        <v>176</v>
      </c>
      <c r="H25" s="87">
        <f>M5*1</f>
        <v>90</v>
      </c>
      <c r="I25" s="566"/>
      <c r="J25" s="662"/>
    </row>
    <row r="26" spans="1:106" s="8" customFormat="1" ht="18" customHeight="1">
      <c r="A26" s="64" t="s">
        <v>34</v>
      </c>
      <c r="B26" s="571" t="s">
        <v>972</v>
      </c>
      <c r="C26" s="736" t="s">
        <v>20</v>
      </c>
      <c r="D26" s="736"/>
      <c r="E26" s="736"/>
      <c r="F26" s="736"/>
      <c r="G26" s="736"/>
      <c r="H26" s="736"/>
      <c r="I26" s="736"/>
      <c r="J26" s="736"/>
    </row>
    <row r="27" spans="1:106" s="8" customFormat="1" ht="45.75" customHeight="1">
      <c r="A27" s="86">
        <v>6</v>
      </c>
      <c r="B27" s="623" t="s">
        <v>1028</v>
      </c>
      <c r="C27" s="769" t="s">
        <v>1027</v>
      </c>
      <c r="D27" s="769"/>
      <c r="E27" s="769"/>
      <c r="F27" s="769"/>
      <c r="G27" s="86" t="s">
        <v>176</v>
      </c>
      <c r="H27" s="87">
        <f>M5*3.2</f>
        <v>288</v>
      </c>
      <c r="I27" s="566"/>
      <c r="J27" s="662"/>
    </row>
    <row r="28" spans="1:106" s="8" customFormat="1" ht="34.5" customHeight="1">
      <c r="A28" s="86">
        <v>7</v>
      </c>
      <c r="B28" s="623" t="s">
        <v>984</v>
      </c>
      <c r="C28" s="769" t="s">
        <v>485</v>
      </c>
      <c r="D28" s="769"/>
      <c r="E28" s="769"/>
      <c r="F28" s="769"/>
      <c r="G28" s="86" t="s">
        <v>176</v>
      </c>
      <c r="H28" s="87">
        <f>M5*1</f>
        <v>90</v>
      </c>
      <c r="I28" s="566"/>
      <c r="J28" s="662"/>
    </row>
    <row r="29" spans="1:106" s="8" customFormat="1" ht="33" customHeight="1">
      <c r="A29" s="524"/>
      <c r="B29" s="524" t="s">
        <v>59</v>
      </c>
      <c r="C29" s="770" t="s">
        <v>182</v>
      </c>
      <c r="D29" s="770"/>
      <c r="E29" s="770"/>
      <c r="F29" s="770"/>
      <c r="G29" s="770"/>
      <c r="H29" s="770"/>
      <c r="I29" s="770"/>
      <c r="J29" s="770"/>
      <c r="L29" s="8" t="s">
        <v>1081</v>
      </c>
    </row>
    <row r="30" spans="1:106" s="16" customFormat="1" ht="25.5" hidden="1" customHeight="1">
      <c r="A30" s="64" t="s">
        <v>34</v>
      </c>
      <c r="B30" s="276" t="s">
        <v>116</v>
      </c>
      <c r="C30" s="741" t="s">
        <v>776</v>
      </c>
      <c r="D30" s="741"/>
      <c r="E30" s="741"/>
      <c r="F30" s="741"/>
      <c r="G30" s="741" t="s">
        <v>8</v>
      </c>
      <c r="H30" s="741"/>
      <c r="I30" s="673"/>
      <c r="J30" s="66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</row>
    <row r="31" spans="1:106" s="204" customFormat="1" ht="29.25" hidden="1" customHeight="1">
      <c r="A31" s="86">
        <v>27</v>
      </c>
      <c r="B31" s="650" t="s">
        <v>116</v>
      </c>
      <c r="C31" s="771" t="s">
        <v>820</v>
      </c>
      <c r="D31" s="771"/>
      <c r="E31" s="771"/>
      <c r="F31" s="771"/>
      <c r="G31" s="289" t="s">
        <v>919</v>
      </c>
      <c r="H31" s="671" t="e">
        <f>SUM(#REF!)</f>
        <v>#REF!</v>
      </c>
      <c r="I31" s="674"/>
      <c r="J31" s="66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</row>
    <row r="32" spans="1:106" s="204" customFormat="1" ht="29.25" hidden="1" customHeight="1">
      <c r="A32" s="772"/>
      <c r="B32" s="773"/>
      <c r="C32" s="774" t="s">
        <v>778</v>
      </c>
      <c r="D32" s="774"/>
      <c r="E32" s="774"/>
      <c r="F32" s="774"/>
      <c r="G32" s="775" t="s">
        <v>920</v>
      </c>
      <c r="H32" s="776" t="s">
        <v>34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0.25" hidden="1" customHeight="1">
      <c r="A33" s="772"/>
      <c r="B33" s="773"/>
      <c r="C33" s="645" t="s">
        <v>713</v>
      </c>
      <c r="D33" s="652" t="e">
        <f>#REF!</f>
        <v>#REF!</v>
      </c>
      <c r="E33" s="290" t="str">
        <f>G32</f>
        <v>m2</v>
      </c>
      <c r="F33" s="652" t="s">
        <v>716</v>
      </c>
      <c r="G33" s="775"/>
      <c r="H33" s="776"/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276" t="s">
        <v>34</v>
      </c>
      <c r="B34" s="276" t="s">
        <v>845</v>
      </c>
      <c r="C34" s="741" t="s">
        <v>847</v>
      </c>
      <c r="D34" s="741" t="s">
        <v>8</v>
      </c>
      <c r="E34" s="741"/>
      <c r="F34" s="741"/>
      <c r="G34" s="655" t="s">
        <v>8</v>
      </c>
      <c r="H34" s="655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36" hidden="1" customHeight="1">
      <c r="A35" s="593">
        <v>44</v>
      </c>
      <c r="B35" s="656" t="s">
        <v>846</v>
      </c>
      <c r="C35" s="771" t="s">
        <v>915</v>
      </c>
      <c r="D35" s="771"/>
      <c r="E35" s="771"/>
      <c r="F35" s="771"/>
      <c r="G35" s="289" t="s">
        <v>919</v>
      </c>
      <c r="H35" s="671" t="e">
        <f>SUM(#REF!)</f>
        <v>#REF!</v>
      </c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45.75" hidden="1" customHeight="1">
      <c r="A36" s="775"/>
      <c r="B36" s="773"/>
      <c r="C36" s="774" t="s">
        <v>940</v>
      </c>
      <c r="D36" s="774"/>
      <c r="E36" s="774"/>
      <c r="F36" s="774"/>
      <c r="G36" s="775" t="s">
        <v>920</v>
      </c>
      <c r="H36" s="776" t="s">
        <v>34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24.75" hidden="1" customHeight="1">
      <c r="A37" s="775"/>
      <c r="B37" s="773"/>
      <c r="C37" s="645" t="s">
        <v>713</v>
      </c>
      <c r="D37" s="652" t="e">
        <f>#REF!</f>
        <v>#REF!</v>
      </c>
      <c r="E37" s="290" t="str">
        <f>G36</f>
        <v>m2</v>
      </c>
      <c r="F37" s="652" t="s">
        <v>811</v>
      </c>
      <c r="G37" s="775"/>
      <c r="H37" s="776"/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34.5" hidden="1" customHeight="1">
      <c r="A38" s="64" t="s">
        <v>34</v>
      </c>
      <c r="B38" s="276" t="s">
        <v>848</v>
      </c>
      <c r="C38" s="741" t="s">
        <v>849</v>
      </c>
      <c r="D38" s="741" t="s">
        <v>8</v>
      </c>
      <c r="E38" s="741"/>
      <c r="F38" s="741"/>
      <c r="G38" s="655" t="s">
        <v>8</v>
      </c>
      <c r="H38" s="655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20.25" hidden="1" customHeight="1">
      <c r="A39" s="458">
        <v>29</v>
      </c>
      <c r="B39" s="656" t="s">
        <v>846</v>
      </c>
      <c r="C39" s="771" t="s">
        <v>844</v>
      </c>
      <c r="D39" s="771"/>
      <c r="E39" s="771"/>
      <c r="F39" s="771"/>
      <c r="G39" s="289" t="s">
        <v>919</v>
      </c>
      <c r="H39" s="671" t="e">
        <f>SUM(#REF!)</f>
        <v>#REF!</v>
      </c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47.25" hidden="1" customHeight="1">
      <c r="A40" s="772"/>
      <c r="B40" s="773"/>
      <c r="C40" s="774" t="s">
        <v>843</v>
      </c>
      <c r="D40" s="774"/>
      <c r="E40" s="774"/>
      <c r="F40" s="774"/>
      <c r="G40" s="775" t="s">
        <v>920</v>
      </c>
      <c r="H40" s="776" t="s">
        <v>34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20.25" hidden="1" customHeight="1">
      <c r="A41" s="772"/>
      <c r="B41" s="773"/>
      <c r="C41" s="645" t="s">
        <v>713</v>
      </c>
      <c r="D41" s="652" t="e">
        <f>#REF!</f>
        <v>#REF!</v>
      </c>
      <c r="E41" s="290" t="str">
        <f>G40</f>
        <v>m2</v>
      </c>
      <c r="F41" s="652" t="s">
        <v>811</v>
      </c>
      <c r="G41" s="775"/>
      <c r="H41" s="776"/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458">
        <v>30</v>
      </c>
      <c r="B42" s="656" t="s">
        <v>851</v>
      </c>
      <c r="C42" s="771" t="s">
        <v>852</v>
      </c>
      <c r="D42" s="771"/>
      <c r="E42" s="771"/>
      <c r="F42" s="771"/>
      <c r="G42" s="289" t="s">
        <v>919</v>
      </c>
      <c r="H42" s="671" t="e">
        <f>SUM(#REF!)</f>
        <v>#REF!</v>
      </c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45.75" hidden="1" customHeight="1">
      <c r="A43" s="772"/>
      <c r="B43" s="773"/>
      <c r="C43" s="774" t="s">
        <v>853</v>
      </c>
      <c r="D43" s="774"/>
      <c r="E43" s="774"/>
      <c r="F43" s="774"/>
      <c r="G43" s="775" t="s">
        <v>920</v>
      </c>
      <c r="H43" s="776" t="s">
        <v>34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20.25" hidden="1" customHeight="1">
      <c r="A44" s="772"/>
      <c r="B44" s="773"/>
      <c r="C44" s="645" t="s">
        <v>713</v>
      </c>
      <c r="D44" s="652" t="e">
        <f>#REF!</f>
        <v>#REF!</v>
      </c>
      <c r="E44" s="290" t="str">
        <f>G43</f>
        <v>m2</v>
      </c>
      <c r="F44" s="652" t="s">
        <v>811</v>
      </c>
      <c r="G44" s="775"/>
      <c r="H44" s="776"/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customHeight="1">
      <c r="A45" s="571"/>
      <c r="B45" s="64" t="s">
        <v>116</v>
      </c>
      <c r="C45" s="736" t="s">
        <v>776</v>
      </c>
      <c r="D45" s="736"/>
      <c r="E45" s="736"/>
      <c r="F45" s="736"/>
      <c r="G45" s="736"/>
      <c r="H45" s="736"/>
      <c r="I45" s="736"/>
      <c r="J45" s="736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36.75" customHeight="1">
      <c r="A46" s="679" t="s">
        <v>1022</v>
      </c>
      <c r="B46" s="564" t="s">
        <v>213</v>
      </c>
      <c r="C46" s="769" t="s">
        <v>1021</v>
      </c>
      <c r="D46" s="769"/>
      <c r="E46" s="769"/>
      <c r="F46" s="769"/>
      <c r="G46" s="458" t="s">
        <v>176</v>
      </c>
      <c r="H46" s="566">
        <v>18</v>
      </c>
      <c r="I46" s="389"/>
      <c r="J46" s="662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22.5" customHeight="1">
      <c r="A47" s="64" t="s">
        <v>34</v>
      </c>
      <c r="B47" s="64" t="s">
        <v>21</v>
      </c>
      <c r="C47" s="736" t="s">
        <v>1078</v>
      </c>
      <c r="D47" s="736"/>
      <c r="E47" s="736"/>
      <c r="F47" s="736"/>
      <c r="G47" s="736"/>
      <c r="H47" s="736"/>
      <c r="I47" s="736"/>
      <c r="J47" s="736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8" s="204" customFormat="1" ht="30.75" hidden="1" customHeight="1">
      <c r="A48" s="289">
        <v>45</v>
      </c>
      <c r="B48" s="656" t="s">
        <v>816</v>
      </c>
      <c r="C48" s="771" t="s">
        <v>935</v>
      </c>
      <c r="D48" s="771"/>
      <c r="E48" s="771"/>
      <c r="F48" s="771"/>
      <c r="G48" s="289" t="s">
        <v>924</v>
      </c>
      <c r="H48" s="671" t="e">
        <f>SUM(#REF!)</f>
        <v>#REF!</v>
      </c>
      <c r="I48" s="674"/>
      <c r="J48" s="665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6.75" hidden="1" customHeight="1">
      <c r="A49" s="775"/>
      <c r="B49" s="777"/>
      <c r="C49" s="774" t="s">
        <v>936</v>
      </c>
      <c r="D49" s="774"/>
      <c r="E49" s="774"/>
      <c r="F49" s="774"/>
      <c r="G49" s="775" t="s">
        <v>924</v>
      </c>
      <c r="H49" s="776" t="s">
        <v>34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0" hidden="1" customHeight="1">
      <c r="A50" s="775"/>
      <c r="B50" s="777"/>
      <c r="C50" s="645" t="s">
        <v>713</v>
      </c>
      <c r="D50" s="652" t="e">
        <f>#REF!</f>
        <v>#REF!</v>
      </c>
      <c r="E50" s="290" t="s">
        <v>924</v>
      </c>
      <c r="F50" s="652" t="s">
        <v>716</v>
      </c>
      <c r="G50" s="775"/>
      <c r="H50" s="776"/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43.5" customHeight="1">
      <c r="A51" s="86">
        <v>9</v>
      </c>
      <c r="B51" s="564" t="s">
        <v>1008</v>
      </c>
      <c r="C51" s="778" t="s">
        <v>1079</v>
      </c>
      <c r="D51" s="778"/>
      <c r="E51" s="778"/>
      <c r="F51" s="778"/>
      <c r="G51" s="86" t="s">
        <v>176</v>
      </c>
      <c r="H51" s="77">
        <f>M5*3*1.05</f>
        <v>283.5</v>
      </c>
      <c r="I51" s="77"/>
      <c r="J51" s="662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41" customFormat="1" ht="35.25" customHeight="1">
      <c r="A52" s="21"/>
      <c r="B52" s="448" t="s">
        <v>60</v>
      </c>
      <c r="C52" s="737" t="s">
        <v>183</v>
      </c>
      <c r="D52" s="737"/>
      <c r="E52" s="737"/>
      <c r="F52" s="737"/>
      <c r="G52" s="737"/>
      <c r="H52" s="737"/>
      <c r="I52" s="737"/>
      <c r="J52" s="73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</row>
    <row r="53" spans="1:68" s="8" customFormat="1" ht="19.5" customHeight="1">
      <c r="A53" s="64" t="s">
        <v>34</v>
      </c>
      <c r="B53" s="571" t="s">
        <v>23</v>
      </c>
      <c r="C53" s="736" t="s">
        <v>167</v>
      </c>
      <c r="D53" s="736"/>
      <c r="E53" s="736"/>
      <c r="F53" s="736"/>
      <c r="G53" s="736" t="s">
        <v>8</v>
      </c>
      <c r="H53" s="736"/>
      <c r="I53" s="736"/>
      <c r="J53" s="736"/>
    </row>
    <row r="54" spans="1:68" s="11" customFormat="1" ht="28.5" customHeight="1">
      <c r="A54" s="86">
        <v>10</v>
      </c>
      <c r="B54" s="432" t="s">
        <v>0</v>
      </c>
      <c r="C54" s="778" t="s">
        <v>74</v>
      </c>
      <c r="D54" s="778"/>
      <c r="E54" s="778"/>
      <c r="F54" s="778"/>
      <c r="G54" s="86" t="s">
        <v>176</v>
      </c>
      <c r="H54" s="87">
        <f>H9/2</f>
        <v>45</v>
      </c>
      <c r="I54" s="566"/>
      <c r="J54" s="662"/>
    </row>
    <row r="55" spans="1:68" s="8" customFormat="1" ht="38.25" hidden="1" customHeight="1">
      <c r="A55" s="779"/>
      <c r="B55" s="780"/>
      <c r="C55" s="781" t="s">
        <v>983</v>
      </c>
      <c r="D55" s="781"/>
      <c r="E55" s="781"/>
      <c r="F55" s="781"/>
      <c r="G55" s="772" t="s">
        <v>177</v>
      </c>
      <c r="H55" s="782" t="s">
        <v>34</v>
      </c>
      <c r="I55" s="106"/>
      <c r="J55" s="662" t="e">
        <f t="shared" ref="J55:J56" si="0">H55*I55</f>
        <v>#VALUE!</v>
      </c>
    </row>
    <row r="56" spans="1:68" s="8" customFormat="1" ht="16.5" hidden="1" customHeight="1">
      <c r="A56" s="779"/>
      <c r="B56" s="780"/>
      <c r="C56" s="672" t="s">
        <v>713</v>
      </c>
      <c r="D56" s="67" t="e">
        <f>#REF!</f>
        <v>#REF!</v>
      </c>
      <c r="E56" s="109" t="str">
        <f>G55</f>
        <v>m2</v>
      </c>
      <c r="F56" s="67" t="s">
        <v>715</v>
      </c>
      <c r="G56" s="772"/>
      <c r="H56" s="782"/>
      <c r="I56" s="106"/>
      <c r="J56" s="662">
        <f t="shared" si="0"/>
        <v>0</v>
      </c>
    </row>
    <row r="57" spans="1:68" s="8" customFormat="1" ht="19.5" customHeight="1">
      <c r="A57" s="64" t="s">
        <v>34</v>
      </c>
      <c r="B57" s="450" t="s">
        <v>976</v>
      </c>
      <c r="C57" s="736" t="s">
        <v>975</v>
      </c>
      <c r="D57" s="736"/>
      <c r="E57" s="736"/>
      <c r="F57" s="736"/>
      <c r="G57" s="736" t="s">
        <v>8</v>
      </c>
      <c r="H57" s="736"/>
      <c r="I57" s="736"/>
      <c r="J57" s="736"/>
    </row>
    <row r="58" spans="1:68" s="11" customFormat="1" ht="29.25" customHeight="1">
      <c r="A58" s="86">
        <v>11</v>
      </c>
      <c r="B58" s="432" t="s">
        <v>977</v>
      </c>
      <c r="C58" s="778" t="s">
        <v>1013</v>
      </c>
      <c r="D58" s="778"/>
      <c r="E58" s="778"/>
      <c r="F58" s="778"/>
      <c r="G58" s="86" t="s">
        <v>176</v>
      </c>
      <c r="H58" s="87">
        <f>M5*2*0.5</f>
        <v>90</v>
      </c>
      <c r="I58" s="77"/>
      <c r="J58" s="662"/>
    </row>
    <row r="59" spans="1:68" ht="21" customHeight="1">
      <c r="A59" s="783" t="s">
        <v>1014</v>
      </c>
      <c r="B59" s="783"/>
      <c r="C59" s="783"/>
      <c r="D59" s="783"/>
      <c r="E59" s="783"/>
      <c r="F59" s="783"/>
      <c r="G59" s="783"/>
      <c r="H59" s="783"/>
      <c r="I59" s="783"/>
      <c r="J59" s="592"/>
    </row>
    <row r="60" spans="1:68" ht="21" customHeight="1">
      <c r="A60" s="783" t="s">
        <v>76</v>
      </c>
      <c r="B60" s="783"/>
      <c r="C60" s="783"/>
      <c r="D60" s="783"/>
      <c r="E60" s="783"/>
      <c r="F60" s="783"/>
      <c r="G60" s="783"/>
      <c r="H60" s="783"/>
      <c r="I60" s="783"/>
      <c r="J60" s="592"/>
    </row>
    <row r="61" spans="1:68" ht="21" customHeight="1">
      <c r="A61" s="783" t="s">
        <v>90</v>
      </c>
      <c r="B61" s="783"/>
      <c r="C61" s="783"/>
      <c r="D61" s="783"/>
      <c r="E61" s="783"/>
      <c r="F61" s="783"/>
      <c r="G61" s="783"/>
      <c r="H61" s="783"/>
      <c r="I61" s="783"/>
      <c r="J61" s="592"/>
    </row>
    <row r="62" spans="1:68" ht="21" customHeight="1">
      <c r="A62" s="553"/>
      <c r="B62" s="553"/>
      <c r="C62" s="554"/>
      <c r="D62" s="556"/>
      <c r="E62" s="555"/>
      <c r="F62" s="555"/>
      <c r="G62" s="500"/>
      <c r="H62" s="547"/>
    </row>
    <row r="63" spans="1:68" ht="12.75" customHeight="1">
      <c r="B63" s="494"/>
      <c r="C63" s="507"/>
      <c r="D63" s="504"/>
      <c r="E63" s="494"/>
      <c r="F63" s="526"/>
      <c r="G63" s="526"/>
    </row>
    <row r="64" spans="1:68" ht="12.75" customHeight="1">
      <c r="B64" s="494"/>
      <c r="C64" s="507"/>
      <c r="D64" s="504"/>
      <c r="E64" s="494"/>
      <c r="F64" s="526"/>
      <c r="G64" s="526"/>
    </row>
    <row r="65" spans="2:7" ht="12.75" customHeight="1">
      <c r="B65" s="494"/>
      <c r="C65" s="507"/>
      <c r="D65" s="504"/>
      <c r="E65" s="494"/>
      <c r="F65" s="526"/>
      <c r="G65" s="526"/>
    </row>
    <row r="66" spans="2:7" ht="12.75" customHeight="1">
      <c r="B66" s="494"/>
      <c r="C66" s="507"/>
      <c r="D66" s="504"/>
      <c r="E66" s="494"/>
      <c r="F66" s="526"/>
      <c r="G66" s="526"/>
    </row>
  </sheetData>
  <mergeCells count="92">
    <mergeCell ref="A6:A7"/>
    <mergeCell ref="B6:B7"/>
    <mergeCell ref="C6:F6"/>
    <mergeCell ref="G6:G7"/>
    <mergeCell ref="H6:H7"/>
    <mergeCell ref="A1:J1"/>
    <mergeCell ref="A2:J2"/>
    <mergeCell ref="C3:F3"/>
    <mergeCell ref="B4:J4"/>
    <mergeCell ref="C5:J5"/>
    <mergeCell ref="C8:J8"/>
    <mergeCell ref="C9:F9"/>
    <mergeCell ref="A10:A11"/>
    <mergeCell ref="B10:B11"/>
    <mergeCell ref="C10:F10"/>
    <mergeCell ref="G10:G11"/>
    <mergeCell ref="H10:H11"/>
    <mergeCell ref="C12:J12"/>
    <mergeCell ref="A13:A14"/>
    <mergeCell ref="B13:B14"/>
    <mergeCell ref="C13:F13"/>
    <mergeCell ref="G13:G14"/>
    <mergeCell ref="H13:H14"/>
    <mergeCell ref="A19:A20"/>
    <mergeCell ref="B19:B20"/>
    <mergeCell ref="C19:F19"/>
    <mergeCell ref="G19:G20"/>
    <mergeCell ref="H19:H20"/>
    <mergeCell ref="C26:J26"/>
    <mergeCell ref="M13:P13"/>
    <mergeCell ref="C15:F15"/>
    <mergeCell ref="C16:J16"/>
    <mergeCell ref="C17:J17"/>
    <mergeCell ref="C18:F18"/>
    <mergeCell ref="C21:J21"/>
    <mergeCell ref="C22:J22"/>
    <mergeCell ref="C23:F23"/>
    <mergeCell ref="C24:J24"/>
    <mergeCell ref="C25:F25"/>
    <mergeCell ref="A32:A33"/>
    <mergeCell ref="B32:B33"/>
    <mergeCell ref="C32:F32"/>
    <mergeCell ref="G32:G33"/>
    <mergeCell ref="H32:H33"/>
    <mergeCell ref="C27:F27"/>
    <mergeCell ref="C28:F28"/>
    <mergeCell ref="C29:J29"/>
    <mergeCell ref="C30:H30"/>
    <mergeCell ref="C31:F31"/>
    <mergeCell ref="C34:F34"/>
    <mergeCell ref="C35:F35"/>
    <mergeCell ref="A36:A37"/>
    <mergeCell ref="B36:B37"/>
    <mergeCell ref="C36:F36"/>
    <mergeCell ref="H43:H44"/>
    <mergeCell ref="H36:H37"/>
    <mergeCell ref="C38:F38"/>
    <mergeCell ref="C39:F39"/>
    <mergeCell ref="A40:A41"/>
    <mergeCell ref="B40:B41"/>
    <mergeCell ref="C40:F40"/>
    <mergeCell ref="G40:G41"/>
    <mergeCell ref="H40:H41"/>
    <mergeCell ref="G36:G37"/>
    <mergeCell ref="C42:F42"/>
    <mergeCell ref="A43:A44"/>
    <mergeCell ref="B43:B44"/>
    <mergeCell ref="C43:F43"/>
    <mergeCell ref="G43:G44"/>
    <mergeCell ref="C45:J45"/>
    <mergeCell ref="C46:F46"/>
    <mergeCell ref="C47:J47"/>
    <mergeCell ref="C48:F48"/>
    <mergeCell ref="A49:A50"/>
    <mergeCell ref="B49:B50"/>
    <mergeCell ref="C49:F49"/>
    <mergeCell ref="G49:G50"/>
    <mergeCell ref="H49:H50"/>
    <mergeCell ref="C51:F51"/>
    <mergeCell ref="C52:J52"/>
    <mergeCell ref="C53:J53"/>
    <mergeCell ref="C54:F54"/>
    <mergeCell ref="A55:A56"/>
    <mergeCell ref="B55:B56"/>
    <mergeCell ref="C55:F55"/>
    <mergeCell ref="G55:G56"/>
    <mergeCell ref="H55:H56"/>
    <mergeCell ref="C57:J57"/>
    <mergeCell ref="C58:F58"/>
    <mergeCell ref="A59:I59"/>
    <mergeCell ref="A60:I60"/>
    <mergeCell ref="A61:I61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38</vt:i4>
      </vt:variant>
      <vt:variant>
        <vt:lpstr>Zakresy nazwane</vt:lpstr>
      </vt:variant>
      <vt:variant>
        <vt:i4>33</vt:i4>
      </vt:variant>
    </vt:vector>
  </HeadingPairs>
  <TitlesOfParts>
    <vt:vector size="71" baseType="lpstr">
      <vt:lpstr>KO2</vt:lpstr>
      <vt:lpstr>KO_1</vt:lpstr>
      <vt:lpstr>KO_4</vt:lpstr>
      <vt:lpstr>PRZEKŁADKA KWALIFIKOWANE</vt:lpstr>
      <vt:lpstr>PRZEKŁADKA NIEKWALIFIKOWANE</vt:lpstr>
      <vt:lpstr>KI3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16</vt:lpstr>
      <vt:lpstr>17</vt:lpstr>
      <vt:lpstr>18</vt:lpstr>
      <vt:lpstr>19</vt:lpstr>
      <vt:lpstr>20</vt:lpstr>
      <vt:lpstr>KI4-STARE</vt:lpstr>
      <vt:lpstr>KO4-STARE</vt:lpstr>
      <vt:lpstr>KI_4</vt:lpstr>
      <vt:lpstr>PR2_ZRID</vt:lpstr>
      <vt:lpstr>PRZEKŁADKA KWALIFIKOWANE (2)</vt:lpstr>
      <vt:lpstr>1.2.3. Zjazdy indywidualne</vt:lpstr>
      <vt:lpstr>1.2.3. Zjazdy indywidualne (2)</vt:lpstr>
      <vt:lpstr>4.Zdjęcie humusu</vt:lpstr>
      <vt:lpstr>5. Humusowanie</vt:lpstr>
      <vt:lpstr>6.Wykopy-Nasypy</vt:lpstr>
      <vt:lpstr>7.Koryto</vt:lpstr>
      <vt:lpstr>8.odcinająca</vt:lpstr>
      <vt:lpstr>9.wiążąca</vt:lpstr>
      <vt:lpstr>10.ścieralna</vt:lpstr>
      <vt:lpstr>Arkusz1</vt:lpstr>
      <vt:lpstr>'1.2.3. Zjazdy indywidualne'!Obszar_wydruku</vt:lpstr>
      <vt:lpstr>'1.2.3. Zjazdy indywidualne (2)'!Obszar_wydruku</vt:lpstr>
      <vt:lpstr>'10'!Obszar_wydruku</vt:lpstr>
      <vt:lpstr>'10.ścieralna'!Obszar_wydruku</vt:lpstr>
      <vt:lpstr>'11'!Obszar_wydruku</vt:lpstr>
      <vt:lpstr>'12'!Obszar_wydruku</vt:lpstr>
      <vt:lpstr>'13'!Obszar_wydruku</vt:lpstr>
      <vt:lpstr>'14'!Obszar_wydruku</vt:lpstr>
      <vt:lpstr>'16'!Obszar_wydruku</vt:lpstr>
      <vt:lpstr>'17'!Obszar_wydruku</vt:lpstr>
      <vt:lpstr>'18'!Obszar_wydruku</vt:lpstr>
      <vt:lpstr>'19'!Obszar_wydruku</vt:lpstr>
      <vt:lpstr>'20'!Obszar_wydruku</vt:lpstr>
      <vt:lpstr>'3'!Obszar_wydruku</vt:lpstr>
      <vt:lpstr>'4'!Obszar_wydruku</vt:lpstr>
      <vt:lpstr>'4.Zdjęcie humusu'!Obszar_wydruku</vt:lpstr>
      <vt:lpstr>'5'!Obszar_wydruku</vt:lpstr>
      <vt:lpstr>'5. Humusowanie'!Obszar_wydruku</vt:lpstr>
      <vt:lpstr>'6'!Obszar_wydruku</vt:lpstr>
      <vt:lpstr>'6.Wykopy-Nasypy'!Obszar_wydruku</vt:lpstr>
      <vt:lpstr>'7'!Obszar_wydruku</vt:lpstr>
      <vt:lpstr>'7.Koryto'!Obszar_wydruku</vt:lpstr>
      <vt:lpstr>'8'!Obszar_wydruku</vt:lpstr>
      <vt:lpstr>'8.odcinająca'!Obszar_wydruku</vt:lpstr>
      <vt:lpstr>'9'!Obszar_wydruku</vt:lpstr>
      <vt:lpstr>'9.wiążąca'!Obszar_wydruku</vt:lpstr>
      <vt:lpstr>KI_4!Obszar_wydruku</vt:lpstr>
      <vt:lpstr>'KI3'!Obszar_wydruku</vt:lpstr>
      <vt:lpstr>'KI4-STARE'!Obszar_wydruku</vt:lpstr>
      <vt:lpstr>KO_1!Obszar_wydruku</vt:lpstr>
      <vt:lpstr>KO_4!Obszar_wydruku</vt:lpstr>
      <vt:lpstr>'KO4-STARE'!Obszar_wydruku</vt:lpstr>
      <vt:lpstr>PR2_ZRID!Obszar_wydruku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Piotr Jaworek</cp:lastModifiedBy>
  <cp:lastPrinted>2023-04-17T08:45:08Z</cp:lastPrinted>
  <dcterms:created xsi:type="dcterms:W3CDTF">1997-02-26T13:46:56Z</dcterms:created>
  <dcterms:modified xsi:type="dcterms:W3CDTF">2023-06-15T09:32:54Z</dcterms:modified>
</cp:coreProperties>
</file>