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30720" windowHeight="13692" tabRatio="474"/>
  </bookViews>
  <sheets>
    <sheet name="Kalkulacja" sheetId="1" r:id="rId1"/>
  </sheets>
  <definedNames>
    <definedName name="aktualizacje">Kalkulacja!$K$20</definedName>
    <definedName name="arkusze">Kalkulacja!$C$15+Kalkulacja!$C$16+Kalkulacja!$C$17+Kalkulacja!$C$18</definedName>
    <definedName name="Czasopisma">Kalkulacja!$C$13</definedName>
    <definedName name="czasopisma_arkusze">Kalkulacja!$C$17+Kalkulacja!$C$18</definedName>
    <definedName name="czasopisma_arkusze_obcy">Kalkulacja!$C$18</definedName>
    <definedName name="czasopisma_arkusze_polski">Kalkulacja!$C$17</definedName>
    <definedName name="hasła">Kalkulacja!$C$20</definedName>
    <definedName name="ilustracje">Kalkulacja!$C$19</definedName>
    <definedName name="kolor">Kalkulacja!$C$21</definedName>
    <definedName name="miesiące">Kalkulacja!$K$18</definedName>
    <definedName name="miękka">Kalkulacja!$K$13</definedName>
    <definedName name="Monografie">Kalkulacja!$C$12</definedName>
    <definedName name="monografie_arkusze">Kalkulacja!$C$15+Kalkulacja!$C$16</definedName>
    <definedName name="monografie_arkusze_obcy">Kalkulacja!$C$16</definedName>
    <definedName name="monografie_arkusze_polski">Kalkulacja!$C$15</definedName>
    <definedName name="nakład">Kalkulacja!$K$17</definedName>
    <definedName name="opisy">Kalkulacja!$K$16</definedName>
    <definedName name="PDF">Kalkulacja!$C$14</definedName>
    <definedName name="poprawki">Kalkulacja!$K$19</definedName>
    <definedName name="projekt">Kalkulacja!$K$15</definedName>
    <definedName name="twarda">Kalkulacja!$K$12</definedName>
    <definedName name="uszlachetnienie">Kalkulacja!$K$14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29" i="1"/>
  <c r="E37" i="1"/>
  <c r="F49" i="1"/>
  <c r="J25" i="1"/>
  <c r="I25" i="1"/>
  <c r="E25" i="1" a="1"/>
  <c r="E25" i="1" s="1"/>
  <c r="E41" i="1" a="1"/>
  <c r="E41" i="1" s="1"/>
  <c r="J41" i="1" a="1"/>
  <c r="J41" i="1" s="1"/>
  <c r="I41" i="1" a="1"/>
  <c r="I41" i="1" s="1"/>
  <c r="J38" i="1"/>
  <c r="I38" i="1"/>
  <c r="J36" i="1"/>
  <c r="I36" i="1"/>
  <c r="J35" i="1" a="1"/>
  <c r="J35" i="1" s="1"/>
  <c r="I35" i="1" a="1"/>
  <c r="I35" i="1" s="1"/>
  <c r="J37" i="1"/>
  <c r="J39" i="1"/>
  <c r="I37" i="1"/>
  <c r="I39" i="1"/>
  <c r="J31" i="1"/>
  <c r="J30" i="1"/>
  <c r="I31" i="1"/>
  <c r="I30" i="1"/>
  <c r="E26" i="1" a="1"/>
  <c r="E26" i="1" s="1"/>
  <c r="E35" i="1" a="1"/>
  <c r="E35" i="1" s="1"/>
  <c r="K15" i="1"/>
  <c r="J28" i="1"/>
  <c r="I28" i="1"/>
  <c r="J27" i="1"/>
  <c r="I27" i="1"/>
  <c r="E42" i="1" a="1"/>
  <c r="E42" i="1" s="1"/>
  <c r="F42" i="1" s="1"/>
  <c r="J42" i="1" s="1" a="1"/>
  <c r="J42" i="1" s="1"/>
  <c r="J26" i="1"/>
  <c r="I26" i="1"/>
  <c r="E39" i="1"/>
  <c r="E31" i="1"/>
  <c r="E38" i="1"/>
  <c r="E36" i="1"/>
  <c r="E30" i="1"/>
  <c r="E28" i="1"/>
  <c r="E27" i="1"/>
  <c r="E48" i="1"/>
  <c r="E43" i="1"/>
  <c r="F43" i="1" s="1"/>
  <c r="J43" i="1" s="1" a="1"/>
  <c r="J43" i="1" s="1"/>
  <c r="I49" i="1" l="1"/>
  <c r="K49" i="1" s="1"/>
  <c r="I42" i="1" a="1"/>
  <c r="I42" i="1" s="1"/>
  <c r="K42" i="1" s="1"/>
  <c r="I43" i="1" a="1"/>
  <c r="I43" i="1" s="1"/>
  <c r="K43" i="1" s="1"/>
  <c r="E40" i="1"/>
  <c r="F40" i="1" s="1"/>
  <c r="F25" i="1"/>
  <c r="K25" i="1" s="1"/>
  <c r="E47" i="1"/>
  <c r="F47" i="1" s="1"/>
  <c r="E46" i="1"/>
  <c r="F46" i="1" s="1"/>
  <c r="F41" i="1"/>
  <c r="K41" i="1" s="1"/>
  <c r="E44" i="1"/>
  <c r="F44" i="1" s="1"/>
  <c r="I44" i="1" s="1"/>
  <c r="E45" i="1"/>
  <c r="F45" i="1" s="1"/>
  <c r="F39" i="1"/>
  <c r="K39" i="1" s="1"/>
  <c r="F37" i="1"/>
  <c r="K37" i="1" s="1"/>
  <c r="F38" i="1"/>
  <c r="K38" i="1" s="1"/>
  <c r="F36" i="1"/>
  <c r="K36" i="1" s="1"/>
  <c r="F35" i="1"/>
  <c r="K35" i="1" s="1"/>
  <c r="E34" i="1"/>
  <c r="F34" i="1" s="1"/>
  <c r="E33" i="1"/>
  <c r="F33" i="1" s="1"/>
  <c r="E32" i="1"/>
  <c r="F32" i="1" s="1"/>
  <c r="F31" i="1"/>
  <c r="K31" i="1" s="1"/>
  <c r="F28" i="1"/>
  <c r="K28" i="1" s="1"/>
  <c r="F30" i="1"/>
  <c r="F27" i="1"/>
  <c r="K27" i="1" s="1"/>
  <c r="F26" i="1"/>
  <c r="K26" i="1" s="1"/>
  <c r="K30" i="1" l="1"/>
  <c r="I33" i="1" a="1"/>
  <c r="I33" i="1" s="1"/>
  <c r="K33" i="1" s="1"/>
  <c r="J33" i="1" a="1"/>
  <c r="J33" i="1" s="1"/>
  <c r="I34" i="1" a="1"/>
  <c r="I34" i="1" s="1"/>
  <c r="J34" i="1" a="1"/>
  <c r="J34" i="1" s="1"/>
  <c r="I40" i="1" a="1"/>
  <c r="I40" i="1" s="1"/>
  <c r="J40" i="1" a="1"/>
  <c r="J40" i="1" s="1"/>
  <c r="J45" i="1" a="1"/>
  <c r="J45" i="1" s="1"/>
  <c r="I45" i="1" a="1"/>
  <c r="I45" i="1" s="1"/>
  <c r="I32" i="1"/>
  <c r="F29" i="1"/>
  <c r="K44" i="1"/>
  <c r="I47" i="1"/>
  <c r="K47" i="1" s="1"/>
  <c r="F48" i="1"/>
  <c r="I46" i="1"/>
  <c r="K46" i="1" s="1"/>
  <c r="J51" i="1" l="1"/>
  <c r="K32" i="1"/>
  <c r="K45" i="1"/>
  <c r="K34" i="1"/>
  <c r="K40" i="1"/>
  <c r="J29" i="1" a="1"/>
  <c r="J29" i="1" s="1"/>
  <c r="I29" i="1" a="1"/>
  <c r="I29" i="1" s="1"/>
  <c r="I48" i="1"/>
  <c r="K48" i="1" s="1"/>
  <c r="J52" i="1" l="1"/>
  <c r="J53" i="1" s="1"/>
  <c r="K2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<sst xmlns="http://schemas.openxmlformats.org/spreadsheetml/2006/main" count="99" uniqueCount="82">
  <si>
    <t>Formularz oferty cenowej</t>
  </si>
  <si>
    <t>Jednostka</t>
  </si>
  <si>
    <t>Redakcja techniczna (adiustacja)</t>
  </si>
  <si>
    <t>arkusz wydawniczy</t>
  </si>
  <si>
    <t>opis bibliograficzny</t>
  </si>
  <si>
    <t>hasło</t>
  </si>
  <si>
    <t>Przyjęcie manuskryptu</t>
  </si>
  <si>
    <t>Oznaczenie haseł indeksów w pliku Word</t>
  </si>
  <si>
    <t>ilustracja</t>
  </si>
  <si>
    <t>projekt</t>
  </si>
  <si>
    <t>Łamanie tekstu</t>
  </si>
  <si>
    <t>plik</t>
  </si>
  <si>
    <t>Przygotowanie plików PDF i ich publikacja online</t>
  </si>
  <si>
    <t>Koszt jednostkowy</t>
  </si>
  <si>
    <t>Koszt całkowity</t>
  </si>
  <si>
    <t>Weryfikacja opisów bibliograficznych</t>
  </si>
  <si>
    <t>Redakcja wydawnicza (merytoryczna, językowa) w języku polskim</t>
  </si>
  <si>
    <t>Korekta pierwsza przed łamaniem w języku polskim</t>
  </si>
  <si>
    <t>Korekta pierwsza przed łamaniem w języku obcym</t>
  </si>
  <si>
    <t>Korekta druga po łamaniu w języku polskim</t>
  </si>
  <si>
    <t>Korekta druga po łamaniu w języku obcym</t>
  </si>
  <si>
    <t>Korekta trzecia rewizyjna w języku polskim</t>
  </si>
  <si>
    <t>Korekta trzecia rewizyjna w języku obcym</t>
  </si>
  <si>
    <t>Liczba jednostek</t>
  </si>
  <si>
    <t>Parametry</t>
  </si>
  <si>
    <t>Redakcja wydawnicza (merytoryczna, językowa) w języku obcym nowożytnym</t>
  </si>
  <si>
    <t>oprawa twarda</t>
  </si>
  <si>
    <t>oprawa miękka</t>
  </si>
  <si>
    <t>Druk jednego egzemplarza jednego arkusza wydawniczego publikacji w nakładzie do 500 egzemplarzy</t>
  </si>
  <si>
    <t>dla Uniwersytetu Papieskiego Jana Pawła II w Krakowie, ul. Kanonicza 25, 31-002 Kraków</t>
  </si>
  <si>
    <t>Adres do korespondencji:</t>
  </si>
  <si>
    <t>Łączna kwota netto</t>
  </si>
  <si>
    <t xml:space="preserve">Kwota brutto </t>
  </si>
  <si>
    <t>Administracja systemami Open Monograph Press i Open Journals Systems</t>
  </si>
  <si>
    <t>miesiąc</t>
  </si>
  <si>
    <t>Instalacja poprawek systemów Open Monograph Press i Open Journals Systems (minor updates)</t>
  </si>
  <si>
    <t>poprawka</t>
  </si>
  <si>
    <t>aktualizacja</t>
  </si>
  <si>
    <t xml:space="preserve">wyłonienie Wykonawcy kompleksowej usługi wydawniczej publikacji naukowych (monografii i czasopism) Uniwersytetu Papieskiego Jana Pawła II w Krakowie </t>
  </si>
  <si>
    <t>Stawka VAT</t>
  </si>
  <si>
    <t>Kwota VAT</t>
  </si>
  <si>
    <t>Oprawa twarda jednego egzemplarza w nakładzie od 20 do 500 egzemplarzy</t>
  </si>
  <si>
    <t>Oprawa miękka jednego egzemplarza w nakładzie od 20 do 500 egzemplarzy</t>
  </si>
  <si>
    <t>Projekt okładki i układu typograficznego</t>
  </si>
  <si>
    <t>Wykonanie lub obróbka materiału ilustracyjnego</t>
  </si>
  <si>
    <t>Druk jednej strony w kolorze</t>
  </si>
  <si>
    <t>strona</t>
  </si>
  <si>
    <t>Nazwa parametru</t>
  </si>
  <si>
    <t>Koszt netto</t>
  </si>
  <si>
    <t>uszlachetnienie</t>
  </si>
  <si>
    <t>Uszlachetnienie (lakier UV, tłoczenie folią metalizowaną) jednego egzemplarza w nakładzie od 20 do 500 egzemplarzy</t>
  </si>
  <si>
    <t>E-mail:</t>
  </si>
  <si>
    <t>Telefon:</t>
  </si>
  <si>
    <t>Aktualizacja systemów Open Monograph Press i Open Journals Systems do nowych wersji (version upgrades)</t>
  </si>
  <si>
    <t>Firma Wykonawcy:</t>
  </si>
  <si>
    <t>Adres Wykonawcy:</t>
  </si>
  <si>
    <t>Mono-
grafie</t>
  </si>
  <si>
    <t>Czaso-
pisma</t>
  </si>
  <si>
    <t>Liczba numerów czasopism</t>
  </si>
  <si>
    <t>Liczba monografii naukowych i pod redakcją naukową</t>
  </si>
  <si>
    <t>Liczba plików PDF do publikacji online</t>
  </si>
  <si>
    <t>Łączna objętość w arkuszach wydawniczych tekstów w języku polskim — monografie</t>
  </si>
  <si>
    <t>Łączna objętość w arkuszach wydawniczych tekstów w języku obcym nowożytnym — monografie</t>
  </si>
  <si>
    <t>Łączna objętość w arkuszach wydawniczych tekstów w języku polskim — czasopisma</t>
  </si>
  <si>
    <t>Łączna objętość w arkuszach wydawniczych tekstów w języku obcym nowożytnym — czasopisma</t>
  </si>
  <si>
    <t>Liczba ilustracji (fotografie, wykresy, schematy, wzory, tabele itp.)</t>
  </si>
  <si>
    <t>Liczba haseł indeksu</t>
  </si>
  <si>
    <t>Liczba stron w kolorze</t>
  </si>
  <si>
    <t>Liczba monografii w twardej oprawie</t>
  </si>
  <si>
    <t>Liczba monografii i czasopism w miękkiej oprawie</t>
  </si>
  <si>
    <t>Liczba mnografii i czasopism z uszlachetnieniem na okładce (lakier UV, tłoczenie folią metalizowaną)</t>
  </si>
  <si>
    <t>Liczba projektów okładek i układów</t>
  </si>
  <si>
    <t>Łączna liczba opisów (pozycji) bibliograficznych</t>
  </si>
  <si>
    <t>Nakład pojedynczej publikacji</t>
  </si>
  <si>
    <t>Liczba miesięcy administrowania systemami Open Monograph Press i Open Journals Systems</t>
  </si>
  <si>
    <t>Liczba instalacji poprawek do Open Monograph Press i Open Journals Systems</t>
  </si>
  <si>
    <t>Liczba aktualizacji Open Monograph Press i Open Journals Systems</t>
  </si>
  <si>
    <t>Liczba miesięcy koordynacji produkcji i sprzedaży publikacji w Wydawnictwie Naukowym</t>
  </si>
  <si>
    <t>Koordynacja produkcji i sprzedaży publikacji w Wydawnictwie Naukowym</t>
  </si>
  <si>
    <t xml:space="preserve">w wersji online lub w wersji drukowanej wraz z obsługą systemów do obsługi tych publikacji (Open Monograph Press i Open Journal Systems) oraz koordynacją prac w Wydawnictwie Naukowym </t>
  </si>
  <si>
    <t>NIP: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</si>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</sst>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_ * #,##0.00_)_ ;_ * \(#,##0.00\)_ ;_ * &quot;-&quot;??_)_ ;_ @_ "/>
    <numFmt numFmtId="166" formatCode="_ * #,##0_)_ ;_ * \(#,##0\)_ ;_ * &quot;-&quot;??_)_ ;_ @_ "/>
  </numFmts>
  <fonts count="20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Lato Regular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Lato Thin"/>
    </font>
    <font>
      <b/>
      <sz val="16"/>
      <name val="Lato Black"/>
      <family val="2"/>
      <charset val="238"/>
    </font>
    <font>
      <i/>
      <sz val="10"/>
      <color theme="1"/>
      <name val="Lato Light"/>
      <family val="2"/>
      <charset val="238"/>
    </font>
    <font>
      <sz val="10"/>
      <color theme="1"/>
      <name val="Lato Heavy"/>
    </font>
    <font>
      <sz val="10"/>
      <color theme="1"/>
      <name val="Lato Medium"/>
    </font>
    <font>
      <sz val="10"/>
      <color theme="1" tint="0.499984740745262"/>
      <name val="Lato Light Italic"/>
      <charset val="238"/>
    </font>
    <font>
      <sz val="10"/>
      <color rgb="FFC00000"/>
      <name val="Lato Black"/>
      <family val="2"/>
      <charset val="238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Lato Regular"/>
      <charset val="238"/>
    </font>
    <font>
      <b/>
      <sz val="14"/>
      <color theme="1"/>
      <name val="Lato Regular"/>
      <charset val="238"/>
    </font>
    <font>
      <sz val="14"/>
      <color rgb="FFC00000"/>
      <name val="Lato Black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Lato Heavy"/>
    </font>
    <font>
      <sz val="10"/>
      <color theme="1"/>
      <name val="Lato Medium"/>
      <family val="2"/>
    </font>
    <font>
      <sz val="10"/>
      <color theme="1" tint="0.499984740745262"/>
      <name val="Lato Light Italic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164" fontId="10" fillId="3" borderId="1" xfId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166" fontId="9" fillId="0" borderId="1" xfId="3" applyNumberFormat="1" applyFont="1" applyBorder="1" applyProtection="1"/>
    <xf numFmtId="164" fontId="2" fillId="0" borderId="1" xfId="1" applyFont="1" applyBorder="1" applyProtection="1"/>
    <xf numFmtId="9" fontId="9" fillId="0" borderId="1" xfId="2" applyFont="1" applyBorder="1" applyAlignment="1" applyProtection="1">
      <alignment horizontal="center"/>
    </xf>
    <xf numFmtId="44" fontId="9" fillId="0" borderId="1" xfId="2" applyNumberFormat="1" applyFont="1" applyBorder="1" applyAlignment="1" applyProtection="1">
      <alignment horizontal="right"/>
    </xf>
    <xf numFmtId="44" fontId="9" fillId="0" borderId="1" xfId="3" applyNumberFormat="1" applyFont="1" applyBorder="1" applyProtection="1"/>
    <xf numFmtId="9" fontId="19" fillId="0" borderId="2" xfId="2" applyFont="1" applyBorder="1" applyAlignment="1" applyProtection="1">
      <alignment horizontal="center"/>
    </xf>
    <xf numFmtId="44" fontId="19" fillId="0" borderId="2" xfId="2" applyNumberFormat="1" applyFont="1" applyBorder="1" applyAlignment="1" applyProtection="1"/>
    <xf numFmtId="44" fontId="19" fillId="0" borderId="1" xfId="3" applyNumberFormat="1" applyFont="1" applyBorder="1" applyProtection="1"/>
    <xf numFmtId="44" fontId="19" fillId="0" borderId="1" xfId="2" applyNumberFormat="1" applyFont="1" applyBorder="1" applyAlignment="1" applyProtection="1">
      <alignment horizontal="right"/>
    </xf>
    <xf numFmtId="9" fontId="19" fillId="0" borderId="2" xfId="2" applyFont="1" applyBorder="1" applyAlignment="1" applyProtection="1">
      <alignment horizontal="center" vertical="center"/>
    </xf>
    <xf numFmtId="9" fontId="9" fillId="4" borderId="1" xfId="2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indent="1"/>
    </xf>
    <xf numFmtId="0" fontId="6" fillId="0" borderId="4" xfId="0" applyFont="1" applyBorder="1"/>
    <xf numFmtId="0" fontId="2" fillId="0" borderId="1" xfId="0" applyFont="1" applyBorder="1" applyAlignment="1">
      <alignment horizontal="right"/>
    </xf>
    <xf numFmtId="0" fontId="6" fillId="0" borderId="3" xfId="0" applyFont="1" applyBorder="1"/>
    <xf numFmtId="1" fontId="2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 inden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9" fontId="9" fillId="0" borderId="2" xfId="2" applyFont="1" applyBorder="1" applyAlignment="1" applyProtection="1">
      <alignment horizontal="center"/>
    </xf>
    <xf numFmtId="9" fontId="9" fillId="0" borderId="3" xfId="2" applyFont="1" applyBorder="1" applyAlignment="1" applyProtection="1">
      <alignment horizontal="center"/>
    </xf>
    <xf numFmtId="44" fontId="9" fillId="0" borderId="2" xfId="3" applyNumberFormat="1" applyFont="1" applyBorder="1" applyProtection="1"/>
    <xf numFmtId="44" fontId="9" fillId="0" borderId="3" xfId="3" applyNumberFormat="1" applyFont="1" applyBorder="1" applyProtection="1"/>
    <xf numFmtId="0" fontId="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>
      <alignment vertical="center"/>
    </xf>
    <xf numFmtId="164" fontId="15" fillId="2" borderId="3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9" fontId="19" fillId="0" borderId="2" xfId="2" applyFont="1" applyBorder="1" applyAlignment="1" applyProtection="1">
      <alignment horizontal="center"/>
    </xf>
    <xf numFmtId="9" fontId="19" fillId="0" borderId="3" xfId="2" applyFont="1" applyBorder="1" applyAlignment="1" applyProtection="1">
      <alignment horizontal="center"/>
    </xf>
    <xf numFmtId="44" fontId="19" fillId="0" borderId="2" xfId="3" applyNumberFormat="1" applyFont="1" applyBorder="1" applyProtection="1"/>
    <xf numFmtId="44" fontId="19" fillId="0" borderId="3" xfId="3" applyNumberFormat="1" applyFont="1" applyBorder="1" applyProtection="1"/>
    <xf numFmtId="0" fontId="2" fillId="0" borderId="1" xfId="0" applyFont="1" applyBorder="1" applyAlignment="1">
      <alignment horizontal="center"/>
    </xf>
    <xf numFmtId="164" fontId="13" fillId="2" borderId="4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/>
    </xf>
    <xf numFmtId="164" fontId="13" fillId="0" borderId="4" xfId="1" applyFont="1" applyBorder="1" applyAlignment="1" applyProtection="1">
      <alignment vertical="center"/>
    </xf>
    <xf numFmtId="164" fontId="13" fillId="0" borderId="3" xfId="1" applyFont="1" applyBorder="1" applyAlignment="1" applyProtection="1">
      <alignment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topLeftCell="C25" zoomScale="150" zoomScaleNormal="100" zoomScalePageLayoutView="50" workbookViewId="0">
      <selection activeCell="D25" sqref="D25:D49"/>
    </sheetView>
  </sheetViews>
  <sheetFormatPr defaultColWidth="11" defaultRowHeight="15.6"/>
  <cols>
    <col min="1" max="1" width="23.5" style="2" customWidth="1"/>
    <col min="2" max="2" width="64.19921875" style="2" customWidth="1"/>
    <col min="3" max="6" width="16.796875" style="2" customWidth="1"/>
    <col min="7" max="8" width="6.69921875" style="2" customWidth="1"/>
    <col min="9" max="10" width="11.69921875" style="2" customWidth="1"/>
    <col min="11" max="11" width="17.69921875" style="2" customWidth="1"/>
    <col min="12" max="16384" width="11" style="2"/>
  </cols>
  <sheetData>
    <row r="1" spans="1:11" ht="2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7.5" customHeight="1">
      <c r="A3"/>
      <c r="B3"/>
      <c r="C3"/>
      <c r="D3"/>
      <c r="E3"/>
      <c r="F3"/>
      <c r="G3"/>
      <c r="H3"/>
      <c r="I3"/>
      <c r="J3"/>
      <c r="K3"/>
    </row>
    <row r="4" spans="1:11">
      <c r="A4" s="66" t="s">
        <v>38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>
      <c r="A5" s="66" t="s">
        <v>79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8.2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>
      <c r="A7" s="16" t="s">
        <v>54</v>
      </c>
      <c r="B7" s="34"/>
      <c r="C7" s="41" t="s">
        <v>52</v>
      </c>
      <c r="D7" s="42"/>
      <c r="E7" s="46"/>
      <c r="F7" s="44"/>
      <c r="G7" s="44"/>
      <c r="H7" s="44"/>
      <c r="I7" s="44"/>
      <c r="J7" s="44"/>
      <c r="K7" s="45"/>
    </row>
    <row r="8" spans="1:11">
      <c r="A8" s="16" t="s">
        <v>55</v>
      </c>
      <c r="B8" s="34"/>
      <c r="C8" s="41" t="s">
        <v>51</v>
      </c>
      <c r="D8" s="42"/>
      <c r="E8" s="43"/>
      <c r="F8" s="44"/>
      <c r="G8" s="44"/>
      <c r="H8" s="44"/>
      <c r="I8" s="44"/>
      <c r="J8" s="44"/>
      <c r="K8" s="45"/>
    </row>
    <row r="9" spans="1:11">
      <c r="A9" s="16" t="s">
        <v>30</v>
      </c>
      <c r="B9" s="34"/>
      <c r="C9" s="41" t="s">
        <v>80</v>
      </c>
      <c r="D9" s="42"/>
      <c r="E9" s="43"/>
      <c r="F9" s="44"/>
      <c r="G9" s="44"/>
      <c r="H9" s="44"/>
      <c r="I9" s="44"/>
      <c r="J9" s="44"/>
      <c r="K9" s="45"/>
    </row>
    <row r="10" spans="1:11" ht="8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>
      <c r="A11" s="78" t="s">
        <v>24</v>
      </c>
      <c r="B11" s="79"/>
      <c r="C11" s="17" t="s">
        <v>81</v>
      </c>
      <c r="D11" s="78" t="s">
        <v>24</v>
      </c>
      <c r="E11" s="79"/>
      <c r="F11" s="79"/>
      <c r="G11" s="79"/>
      <c r="H11" s="79"/>
      <c r="I11" s="79"/>
      <c r="J11" s="80"/>
      <c r="K11" s="17" t="s">
        <v>81</v>
      </c>
    </row>
    <row r="12" spans="1:11">
      <c r="A12" s="18" t="s">
        <v>59</v>
      </c>
      <c r="B12" s="19"/>
      <c r="C12" s="20">
        <v>20</v>
      </c>
      <c r="D12" s="18" t="s">
        <v>68</v>
      </c>
      <c r="E12" s="19"/>
      <c r="F12" s="19"/>
      <c r="G12" s="19"/>
      <c r="H12" s="19"/>
      <c r="I12" s="19"/>
      <c r="J12" s="21"/>
      <c r="K12" s="22">
        <v>10</v>
      </c>
    </row>
    <row r="13" spans="1:11">
      <c r="A13" s="18" t="s">
        <v>58</v>
      </c>
      <c r="B13" s="23"/>
      <c r="C13" s="20">
        <v>25</v>
      </c>
      <c r="D13" s="18" t="s">
        <v>69</v>
      </c>
      <c r="E13" s="23"/>
      <c r="F13" s="23"/>
      <c r="G13" s="23"/>
      <c r="H13" s="23"/>
      <c r="I13" s="23"/>
      <c r="J13" s="24"/>
      <c r="K13" s="20">
        <v>35</v>
      </c>
    </row>
    <row r="14" spans="1:11">
      <c r="A14" s="18" t="s">
        <v>60</v>
      </c>
      <c r="B14" s="19"/>
      <c r="C14" s="20">
        <v>300</v>
      </c>
      <c r="D14" s="18" t="s">
        <v>70</v>
      </c>
      <c r="E14" s="19"/>
      <c r="F14" s="19"/>
      <c r="G14" s="19"/>
      <c r="H14" s="19"/>
      <c r="I14" s="19"/>
      <c r="J14" s="21"/>
      <c r="K14" s="20">
        <v>10</v>
      </c>
    </row>
    <row r="15" spans="1:11">
      <c r="A15" s="18" t="s">
        <v>61</v>
      </c>
      <c r="B15" s="19"/>
      <c r="C15" s="20">
        <v>200</v>
      </c>
      <c r="D15" s="18" t="s">
        <v>71</v>
      </c>
      <c r="E15" s="19"/>
      <c r="F15" s="19"/>
      <c r="G15" s="19"/>
      <c r="H15" s="19"/>
      <c r="I15" s="19"/>
      <c r="J15" s="21"/>
      <c r="K15" s="20">
        <f>twarda+miękka</f>
        <v>45</v>
      </c>
    </row>
    <row r="16" spans="1:11">
      <c r="A16" s="18" t="s">
        <v>62</v>
      </c>
      <c r="B16" s="19"/>
      <c r="C16" s="20">
        <v>50</v>
      </c>
      <c r="D16" s="18" t="s">
        <v>72</v>
      </c>
      <c r="E16" s="19"/>
      <c r="F16" s="19"/>
      <c r="G16" s="19"/>
      <c r="H16" s="19"/>
      <c r="I16" s="19"/>
      <c r="J16" s="21"/>
      <c r="K16" s="20">
        <v>8000</v>
      </c>
    </row>
    <row r="17" spans="1:11" s="3" customFormat="1" ht="13.8">
      <c r="A17" s="18" t="s">
        <v>63</v>
      </c>
      <c r="B17" s="19"/>
      <c r="C17" s="20">
        <v>200</v>
      </c>
      <c r="D17" s="18" t="s">
        <v>73</v>
      </c>
      <c r="E17" s="19"/>
      <c r="F17" s="19"/>
      <c r="G17" s="19"/>
      <c r="H17" s="19"/>
      <c r="I17" s="19"/>
      <c r="J17" s="21"/>
      <c r="K17" s="20">
        <v>50</v>
      </c>
    </row>
    <row r="18" spans="1:11" s="3" customFormat="1" ht="13.8">
      <c r="A18" s="18" t="s">
        <v>64</v>
      </c>
      <c r="B18" s="19"/>
      <c r="C18" s="20">
        <v>50</v>
      </c>
      <c r="D18" s="18" t="s">
        <v>74</v>
      </c>
      <c r="E18" s="19"/>
      <c r="F18" s="19"/>
      <c r="G18" s="19"/>
      <c r="H18" s="19"/>
      <c r="I18" s="19"/>
      <c r="J18" s="21"/>
      <c r="K18" s="20">
        <v>12</v>
      </c>
    </row>
    <row r="19" spans="1:11" s="3" customFormat="1" ht="13.8">
      <c r="A19" s="18" t="s">
        <v>65</v>
      </c>
      <c r="B19" s="19"/>
      <c r="C19" s="22">
        <v>300</v>
      </c>
      <c r="D19" s="18" t="s">
        <v>75</v>
      </c>
      <c r="E19" s="19"/>
      <c r="F19" s="19"/>
      <c r="G19" s="19"/>
      <c r="H19" s="19"/>
      <c r="I19" s="19"/>
      <c r="J19" s="21"/>
      <c r="K19" s="20">
        <v>2</v>
      </c>
    </row>
    <row r="20" spans="1:11" s="3" customFormat="1" ht="13.8">
      <c r="A20" s="18" t="s">
        <v>66</v>
      </c>
      <c r="B20" s="19"/>
      <c r="C20" s="22">
        <v>600</v>
      </c>
      <c r="D20" s="18" t="s">
        <v>76</v>
      </c>
      <c r="E20" s="19"/>
      <c r="F20" s="19"/>
      <c r="G20" s="19"/>
      <c r="H20" s="19"/>
      <c r="I20" s="19"/>
      <c r="J20" s="21"/>
      <c r="K20" s="20">
        <v>2</v>
      </c>
    </row>
    <row r="21" spans="1:11" s="3" customFormat="1" ht="13.8">
      <c r="A21" s="18" t="s">
        <v>67</v>
      </c>
      <c r="B21" s="19"/>
      <c r="C21" s="22">
        <v>300</v>
      </c>
      <c r="D21" s="25" t="s">
        <v>77</v>
      </c>
      <c r="E21" s="19"/>
      <c r="F21" s="19"/>
      <c r="G21" s="19"/>
      <c r="H21" s="19"/>
      <c r="I21" s="19"/>
      <c r="J21" s="21"/>
      <c r="K21" s="22">
        <v>12</v>
      </c>
    </row>
    <row r="22" spans="1:11" s="3" customFormat="1" ht="13.8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>
      <c r="A23" s="70" t="s">
        <v>47</v>
      </c>
      <c r="B23" s="71"/>
      <c r="C23" s="74" t="s">
        <v>1</v>
      </c>
      <c r="D23" s="76" t="s">
        <v>13</v>
      </c>
      <c r="E23" s="74" t="s">
        <v>23</v>
      </c>
      <c r="F23" s="74" t="s">
        <v>48</v>
      </c>
      <c r="G23" s="81" t="s">
        <v>39</v>
      </c>
      <c r="H23" s="82"/>
      <c r="I23" s="81" t="s">
        <v>40</v>
      </c>
      <c r="J23" s="82"/>
      <c r="K23" s="74" t="s">
        <v>14</v>
      </c>
    </row>
    <row r="24" spans="1:11" ht="26.4">
      <c r="A24" s="72"/>
      <c r="B24" s="73"/>
      <c r="C24" s="75"/>
      <c r="D24" s="77"/>
      <c r="E24" s="75"/>
      <c r="F24" s="75"/>
      <c r="G24" s="26" t="s">
        <v>56</v>
      </c>
      <c r="H24" s="27" t="s">
        <v>57</v>
      </c>
      <c r="I24" s="26" t="s">
        <v>56</v>
      </c>
      <c r="J24" s="27" t="s">
        <v>57</v>
      </c>
      <c r="K24" s="75"/>
    </row>
    <row r="25" spans="1:11">
      <c r="A25" s="39" t="s">
        <v>6</v>
      </c>
      <c r="B25" s="39"/>
      <c r="C25" s="28" t="s">
        <v>3</v>
      </c>
      <c r="D25" s="1"/>
      <c r="E25" s="5" cm="1">
        <f t="array" ref="E25">arkusze</f>
        <v>500</v>
      </c>
      <c r="F25" s="6">
        <f t="shared" ref="F25:F48" si="0">D25*E25</f>
        <v>0</v>
      </c>
      <c r="G25" s="7">
        <v>0.05</v>
      </c>
      <c r="H25" s="7">
        <v>0.08</v>
      </c>
      <c r="I25" s="8">
        <f>D25*(monografie_arkusze_polski+monografie_arkusze_obcy)*G25</f>
        <v>0</v>
      </c>
      <c r="J25" s="9">
        <f>D25*(czasopisma_arkusze_polski+czasopisma_arkusze_obcy)*H25</f>
        <v>0</v>
      </c>
      <c r="K25" s="9">
        <f>F25+I25+J25</f>
        <v>0</v>
      </c>
    </row>
    <row r="26" spans="1:11">
      <c r="A26" s="39" t="s">
        <v>2</v>
      </c>
      <c r="B26" s="39"/>
      <c r="C26" s="28" t="s">
        <v>3</v>
      </c>
      <c r="D26" s="1"/>
      <c r="E26" s="5" cm="1">
        <f t="array" ref="E26">arkusze</f>
        <v>500</v>
      </c>
      <c r="F26" s="6">
        <f t="shared" si="0"/>
        <v>0</v>
      </c>
      <c r="G26" s="7">
        <v>0.05</v>
      </c>
      <c r="H26" s="7">
        <v>0.08</v>
      </c>
      <c r="I26" s="8">
        <f>D26*(monografie_arkusze_polski+monografie_arkusze_obcy)*G26</f>
        <v>0</v>
      </c>
      <c r="J26" s="9">
        <f>D26*(czasopisma_arkusze_polski+czasopisma_arkusze_obcy)*H26</f>
        <v>0</v>
      </c>
      <c r="K26" s="9">
        <f t="shared" ref="K26:K45" si="1">F26+I26+J26</f>
        <v>0</v>
      </c>
    </row>
    <row r="27" spans="1:11">
      <c r="A27" s="39" t="s">
        <v>16</v>
      </c>
      <c r="B27" s="39"/>
      <c r="C27" s="28" t="s">
        <v>3</v>
      </c>
      <c r="D27" s="1"/>
      <c r="E27" s="5">
        <f>monografie_arkusze_polski+czasopisma_arkusze_polski</f>
        <v>400</v>
      </c>
      <c r="F27" s="6">
        <f t="shared" si="0"/>
        <v>0</v>
      </c>
      <c r="G27" s="7">
        <v>0.05</v>
      </c>
      <c r="H27" s="7">
        <v>0.08</v>
      </c>
      <c r="I27" s="8">
        <f>D27*(monografie_arkusze_polski)*G27</f>
        <v>0</v>
      </c>
      <c r="J27" s="9">
        <f>D27*(czasopisma_arkusze_polski)*H27</f>
        <v>0</v>
      </c>
      <c r="K27" s="9">
        <f t="shared" si="1"/>
        <v>0</v>
      </c>
    </row>
    <row r="28" spans="1:11">
      <c r="A28" s="39" t="s">
        <v>25</v>
      </c>
      <c r="B28" s="39"/>
      <c r="C28" s="28" t="s">
        <v>3</v>
      </c>
      <c r="D28" s="1"/>
      <c r="E28" s="5">
        <f>monografie_arkusze_obcy+czasopisma_arkusze_obcy</f>
        <v>100</v>
      </c>
      <c r="F28" s="6">
        <f t="shared" si="0"/>
        <v>0</v>
      </c>
      <c r="G28" s="7">
        <v>0.05</v>
      </c>
      <c r="H28" s="7">
        <v>0.08</v>
      </c>
      <c r="I28" s="8">
        <f>D28*(monografie_arkusze_obcy)*G28</f>
        <v>0</v>
      </c>
      <c r="J28" s="9">
        <f>D28*(czasopisma_arkusze_obcy)*H28</f>
        <v>0</v>
      </c>
      <c r="K28" s="9">
        <f t="shared" si="1"/>
        <v>0</v>
      </c>
    </row>
    <row r="29" spans="1:11">
      <c r="A29" s="39" t="s">
        <v>15</v>
      </c>
      <c r="B29" s="39"/>
      <c r="C29" s="28" t="s">
        <v>4</v>
      </c>
      <c r="D29" s="1"/>
      <c r="E29" s="5">
        <f>opisy</f>
        <v>8000</v>
      </c>
      <c r="F29" s="6">
        <f t="shared" si="0"/>
        <v>0</v>
      </c>
      <c r="G29" s="7">
        <v>0.05</v>
      </c>
      <c r="H29" s="7">
        <v>0.08</v>
      </c>
      <c r="I29" s="8" cm="1">
        <f t="array" ref="I29">F29*(monografie_arkusze/arkusze)*G29</f>
        <v>0</v>
      </c>
      <c r="J29" s="9" cm="1">
        <f t="array" ref="J29">F29*(czasopisma_arkusze/arkusze)*H29</f>
        <v>0</v>
      </c>
      <c r="K29" s="9">
        <f t="shared" si="1"/>
        <v>0</v>
      </c>
    </row>
    <row r="30" spans="1:11">
      <c r="A30" s="39" t="s">
        <v>17</v>
      </c>
      <c r="B30" s="39"/>
      <c r="C30" s="28" t="s">
        <v>3</v>
      </c>
      <c r="D30" s="1"/>
      <c r="E30" s="5">
        <f>monografie_arkusze_polski+czasopisma_arkusze_polski</f>
        <v>400</v>
      </c>
      <c r="F30" s="6">
        <f t="shared" si="0"/>
        <v>0</v>
      </c>
      <c r="G30" s="7">
        <v>0.05</v>
      </c>
      <c r="H30" s="7">
        <v>0.08</v>
      </c>
      <c r="I30" s="8">
        <f>D30*(monografie_arkusze_polski)*G30</f>
        <v>0</v>
      </c>
      <c r="J30" s="9">
        <f>D30*(czasopisma_arkusze_polski)*H30</f>
        <v>0</v>
      </c>
      <c r="K30" s="9">
        <f t="shared" si="1"/>
        <v>0</v>
      </c>
    </row>
    <row r="31" spans="1:11">
      <c r="A31" s="39" t="s">
        <v>18</v>
      </c>
      <c r="B31" s="39"/>
      <c r="C31" s="28" t="s">
        <v>3</v>
      </c>
      <c r="D31" s="1"/>
      <c r="E31" s="5">
        <f>monografie_arkusze_obcy+czasopisma_arkusze_obcy</f>
        <v>100</v>
      </c>
      <c r="F31" s="6">
        <f t="shared" si="0"/>
        <v>0</v>
      </c>
      <c r="G31" s="7">
        <v>0.05</v>
      </c>
      <c r="H31" s="7">
        <v>0.08</v>
      </c>
      <c r="I31" s="8">
        <f>D31*(monografie_arkusze_obcy)*G31</f>
        <v>0</v>
      </c>
      <c r="J31" s="9">
        <f>D31*(czasopisma_arkusze_obcy)*H31</f>
        <v>0</v>
      </c>
      <c r="K31" s="9">
        <f t="shared" si="1"/>
        <v>0</v>
      </c>
    </row>
    <row r="32" spans="1:11">
      <c r="A32" s="39" t="s">
        <v>7</v>
      </c>
      <c r="B32" s="39"/>
      <c r="C32" s="28" t="s">
        <v>5</v>
      </c>
      <c r="D32" s="1"/>
      <c r="E32" s="5">
        <f>hasła</f>
        <v>600</v>
      </c>
      <c r="F32" s="6">
        <f t="shared" si="0"/>
        <v>0</v>
      </c>
      <c r="G32" s="10">
        <v>0.05</v>
      </c>
      <c r="H32" s="15"/>
      <c r="I32" s="11">
        <f>F32*G32</f>
        <v>0</v>
      </c>
      <c r="J32" s="12">
        <v>0</v>
      </c>
      <c r="K32" s="9">
        <f t="shared" si="1"/>
        <v>0</v>
      </c>
    </row>
    <row r="33" spans="1:11">
      <c r="A33" s="39" t="s">
        <v>44</v>
      </c>
      <c r="B33" s="39"/>
      <c r="C33" s="28" t="s">
        <v>8</v>
      </c>
      <c r="D33" s="1"/>
      <c r="E33" s="5">
        <f>ilustracje</f>
        <v>300</v>
      </c>
      <c r="F33" s="6">
        <f t="shared" si="0"/>
        <v>0</v>
      </c>
      <c r="G33" s="7">
        <v>0.05</v>
      </c>
      <c r="H33" s="7">
        <v>0.08</v>
      </c>
      <c r="I33" s="8" cm="1">
        <f t="array" ref="I33">F33*(monografie_arkusze/arkusze)*G33</f>
        <v>0</v>
      </c>
      <c r="J33" s="9" cm="1">
        <f t="array" ref="J33">F33*(czasopisma_arkusze/arkusze)*H33</f>
        <v>0</v>
      </c>
      <c r="K33" s="9">
        <f>F33+I33+J32</f>
        <v>0</v>
      </c>
    </row>
    <row r="34" spans="1:11">
      <c r="A34" s="39" t="s">
        <v>43</v>
      </c>
      <c r="B34" s="39"/>
      <c r="C34" s="28" t="s">
        <v>9</v>
      </c>
      <c r="D34" s="1"/>
      <c r="E34" s="5">
        <f>projekt</f>
        <v>45</v>
      </c>
      <c r="F34" s="6">
        <f t="shared" si="0"/>
        <v>0</v>
      </c>
      <c r="G34" s="7">
        <v>0.05</v>
      </c>
      <c r="H34" s="7">
        <v>0.08</v>
      </c>
      <c r="I34" s="13" cm="1">
        <f t="array" ref="I34">F34*(monografie_arkusze/arkusze)*G34</f>
        <v>0</v>
      </c>
      <c r="J34" s="12" cm="1">
        <f t="array" ref="J34">F34*(czasopisma_arkusze/arkusze)*H34</f>
        <v>0</v>
      </c>
      <c r="K34" s="9">
        <f>F34+I34+J33</f>
        <v>0</v>
      </c>
    </row>
    <row r="35" spans="1:11">
      <c r="A35" s="39" t="s">
        <v>10</v>
      </c>
      <c r="B35" s="39"/>
      <c r="C35" s="28" t="s">
        <v>3</v>
      </c>
      <c r="D35" s="1"/>
      <c r="E35" s="5" cm="1">
        <f t="array" ref="E35">arkusze</f>
        <v>500</v>
      </c>
      <c r="F35" s="6">
        <f t="shared" si="0"/>
        <v>0</v>
      </c>
      <c r="G35" s="7">
        <v>0.05</v>
      </c>
      <c r="H35" s="7">
        <v>0.08</v>
      </c>
      <c r="I35" s="8" cm="1">
        <f t="array" ref="I35">D35*(monografie_arkusze)*G35</f>
        <v>0</v>
      </c>
      <c r="J35" s="9" cm="1">
        <f t="array" ref="J35">D35*(czasopisma_arkusze)*H35</f>
        <v>0</v>
      </c>
      <c r="K35" s="9">
        <f t="shared" si="1"/>
        <v>0</v>
      </c>
    </row>
    <row r="36" spans="1:11">
      <c r="A36" s="39" t="s">
        <v>19</v>
      </c>
      <c r="B36" s="39"/>
      <c r="C36" s="28" t="s">
        <v>3</v>
      </c>
      <c r="D36" s="1"/>
      <c r="E36" s="5">
        <f>monografie_arkusze_polski+czasopisma_arkusze_polski</f>
        <v>400</v>
      </c>
      <c r="F36" s="6">
        <f t="shared" si="0"/>
        <v>0</v>
      </c>
      <c r="G36" s="7">
        <v>0.05</v>
      </c>
      <c r="H36" s="7">
        <v>0.08</v>
      </c>
      <c r="I36" s="8">
        <f>D36*(monografie_arkusze_polski)*G36</f>
        <v>0</v>
      </c>
      <c r="J36" s="9">
        <f>D36*(czasopisma_arkusze_polski)*H36</f>
        <v>0</v>
      </c>
      <c r="K36" s="9">
        <f t="shared" si="1"/>
        <v>0</v>
      </c>
    </row>
    <row r="37" spans="1:11">
      <c r="A37" s="39" t="s">
        <v>20</v>
      </c>
      <c r="B37" s="39"/>
      <c r="C37" s="28" t="s">
        <v>3</v>
      </c>
      <c r="D37" s="1"/>
      <c r="E37" s="5">
        <f>monografie_arkusze_obcy+czasopisma_arkusze_obcy</f>
        <v>100</v>
      </c>
      <c r="F37" s="6">
        <f t="shared" si="0"/>
        <v>0</v>
      </c>
      <c r="G37" s="7">
        <v>0.05</v>
      </c>
      <c r="H37" s="7">
        <v>0.08</v>
      </c>
      <c r="I37" s="8">
        <f>D37*(monografie_arkusze_obcy)*G37</f>
        <v>0</v>
      </c>
      <c r="J37" s="9">
        <f>D37*(czasopisma_arkusze_obcy)*H37</f>
        <v>0</v>
      </c>
      <c r="K37" s="9">
        <f t="shared" si="1"/>
        <v>0</v>
      </c>
    </row>
    <row r="38" spans="1:11">
      <c r="A38" s="39" t="s">
        <v>21</v>
      </c>
      <c r="B38" s="39"/>
      <c r="C38" s="28" t="s">
        <v>3</v>
      </c>
      <c r="D38" s="1"/>
      <c r="E38" s="5">
        <f>monografie_arkusze_polski+czasopisma_arkusze_polski</f>
        <v>400</v>
      </c>
      <c r="F38" s="6">
        <f t="shared" si="0"/>
        <v>0</v>
      </c>
      <c r="G38" s="7">
        <v>0.05</v>
      </c>
      <c r="H38" s="7">
        <v>0.08</v>
      </c>
      <c r="I38" s="8">
        <f>D38*(monografie_arkusze_polski)*G38</f>
        <v>0</v>
      </c>
      <c r="J38" s="9">
        <f>D38*(czasopisma_arkusze_polski)*H38</f>
        <v>0</v>
      </c>
      <c r="K38" s="9">
        <f t="shared" si="1"/>
        <v>0</v>
      </c>
    </row>
    <row r="39" spans="1:11">
      <c r="A39" s="39" t="s">
        <v>22</v>
      </c>
      <c r="B39" s="39"/>
      <c r="C39" s="28" t="s">
        <v>3</v>
      </c>
      <c r="D39" s="1"/>
      <c r="E39" s="5">
        <f>monografie_arkusze_obcy+czasopisma_arkusze_obcy</f>
        <v>100</v>
      </c>
      <c r="F39" s="6">
        <f t="shared" si="0"/>
        <v>0</v>
      </c>
      <c r="G39" s="7">
        <v>0.05</v>
      </c>
      <c r="H39" s="7">
        <v>0.08</v>
      </c>
      <c r="I39" s="8">
        <f>D39*(monografie_arkusze_obcy)*G39</f>
        <v>0</v>
      </c>
      <c r="J39" s="9">
        <f>D39*(czasopisma_arkusze_obcy)*H39</f>
        <v>0</v>
      </c>
      <c r="K39" s="9">
        <f t="shared" si="1"/>
        <v>0</v>
      </c>
    </row>
    <row r="40" spans="1:11">
      <c r="A40" s="39" t="s">
        <v>12</v>
      </c>
      <c r="B40" s="39"/>
      <c r="C40" s="28" t="s">
        <v>11</v>
      </c>
      <c r="D40" s="1"/>
      <c r="E40" s="5">
        <f>PDF</f>
        <v>300</v>
      </c>
      <c r="F40" s="6">
        <f t="shared" si="0"/>
        <v>0</v>
      </c>
      <c r="G40" s="7">
        <v>0.05</v>
      </c>
      <c r="H40" s="7">
        <v>0.08</v>
      </c>
      <c r="I40" s="8" cm="1">
        <f t="array" ref="I40">F40*(monografie_arkusze/arkusze)*G40</f>
        <v>0</v>
      </c>
      <c r="J40" s="9" cm="1">
        <f t="array" ref="J40">F40*(czasopisma_arkusze/arkusze)*H40</f>
        <v>0</v>
      </c>
      <c r="K40" s="9">
        <f t="shared" si="1"/>
        <v>0</v>
      </c>
    </row>
    <row r="41" spans="1:11">
      <c r="A41" s="39" t="s">
        <v>28</v>
      </c>
      <c r="B41" s="39"/>
      <c r="C41" s="28" t="s">
        <v>3</v>
      </c>
      <c r="D41" s="1"/>
      <c r="E41" s="5" cm="1">
        <f t="array" ref="E41">arkusze*nakład</f>
        <v>25000</v>
      </c>
      <c r="F41" s="6">
        <f t="shared" si="0"/>
        <v>0</v>
      </c>
      <c r="G41" s="7">
        <v>0.05</v>
      </c>
      <c r="H41" s="7">
        <v>0.08</v>
      </c>
      <c r="I41" s="8" cm="1">
        <f t="array" ref="I41">D41*(monografie_arkusze*nakład)*G41</f>
        <v>0</v>
      </c>
      <c r="J41" s="9" cm="1">
        <f t="array" ref="J41">D41*(czasopisma_arkusze*nakład)*H41</f>
        <v>0</v>
      </c>
      <c r="K41" s="9">
        <f t="shared" si="1"/>
        <v>0</v>
      </c>
    </row>
    <row r="42" spans="1:11">
      <c r="A42" s="83" t="s">
        <v>45</v>
      </c>
      <c r="B42" s="84"/>
      <c r="C42" s="28" t="s">
        <v>46</v>
      </c>
      <c r="D42" s="1"/>
      <c r="E42" s="5" cm="1">
        <f t="array" ref="E42">kolor*nakład</f>
        <v>15000</v>
      </c>
      <c r="F42" s="6">
        <f t="shared" si="0"/>
        <v>0</v>
      </c>
      <c r="G42" s="7">
        <v>0.05</v>
      </c>
      <c r="H42" s="7">
        <v>0.08</v>
      </c>
      <c r="I42" s="8" cm="1">
        <f t="array" ref="I42">F42*(monografie_arkusze/arkusze)*G42</f>
        <v>0</v>
      </c>
      <c r="J42" s="9" cm="1">
        <f t="array" ref="J42">F42*(czasopisma_arkusze/arkusze)*H42</f>
        <v>0</v>
      </c>
      <c r="K42" s="9">
        <f t="shared" si="1"/>
        <v>0</v>
      </c>
    </row>
    <row r="43" spans="1:11">
      <c r="A43" s="29" t="s">
        <v>50</v>
      </c>
      <c r="B43" s="30"/>
      <c r="C43" s="28" t="s">
        <v>49</v>
      </c>
      <c r="D43" s="1"/>
      <c r="E43" s="5">
        <f>uszlachetnienie*nakład</f>
        <v>500</v>
      </c>
      <c r="F43" s="6">
        <f t="shared" ref="F43" si="2">D43*E43</f>
        <v>0</v>
      </c>
      <c r="G43" s="7">
        <v>0.05</v>
      </c>
      <c r="H43" s="7">
        <v>0.08</v>
      </c>
      <c r="I43" s="13" cm="1">
        <f t="array" ref="I43">F43*(monografie_arkusze/arkusze)*G43</f>
        <v>0</v>
      </c>
      <c r="J43" s="12" cm="1">
        <f t="array" ref="J43">F43*(czasopisma_arkusze/arkusze)*H43</f>
        <v>0</v>
      </c>
      <c r="K43" s="9">
        <f t="shared" si="1"/>
        <v>0</v>
      </c>
    </row>
    <row r="44" spans="1:11">
      <c r="A44" s="55" t="s">
        <v>41</v>
      </c>
      <c r="B44" s="56"/>
      <c r="C44" s="28" t="s">
        <v>26</v>
      </c>
      <c r="D44" s="1"/>
      <c r="E44" s="5">
        <f>twarda*nakład</f>
        <v>500</v>
      </c>
      <c r="F44" s="6">
        <f t="shared" si="0"/>
        <v>0</v>
      </c>
      <c r="G44" s="14">
        <v>0.05</v>
      </c>
      <c r="H44" s="15"/>
      <c r="I44" s="11">
        <f>F44*G44</f>
        <v>0</v>
      </c>
      <c r="J44" s="12">
        <v>0</v>
      </c>
      <c r="K44" s="9">
        <f t="shared" si="1"/>
        <v>0</v>
      </c>
    </row>
    <row r="45" spans="1:11">
      <c r="A45" s="55" t="s">
        <v>42</v>
      </c>
      <c r="B45" s="56"/>
      <c r="C45" s="28" t="s">
        <v>27</v>
      </c>
      <c r="D45" s="1"/>
      <c r="E45" s="5">
        <f>miękka*nakład</f>
        <v>1750</v>
      </c>
      <c r="F45" s="6">
        <f t="shared" si="0"/>
        <v>0</v>
      </c>
      <c r="G45" s="7">
        <v>0.05</v>
      </c>
      <c r="H45" s="7">
        <v>0.08</v>
      </c>
      <c r="I45" s="8" cm="1">
        <f t="array" ref="I45">F45*(monografie_arkusze/arkusze)*G45</f>
        <v>0</v>
      </c>
      <c r="J45" s="9" cm="1">
        <f t="array" ref="J45">F45*(czasopisma_arkusze/arkusze)*H45</f>
        <v>0</v>
      </c>
      <c r="K45" s="9">
        <f t="shared" si="1"/>
        <v>0</v>
      </c>
    </row>
    <row r="46" spans="1:11">
      <c r="A46" s="39" t="s">
        <v>33</v>
      </c>
      <c r="B46" s="39"/>
      <c r="C46" s="28" t="s">
        <v>34</v>
      </c>
      <c r="D46" s="1"/>
      <c r="E46" s="5">
        <f>miesiące</f>
        <v>12</v>
      </c>
      <c r="F46" s="6">
        <f t="shared" si="0"/>
        <v>0</v>
      </c>
      <c r="G46" s="35">
        <v>0.23</v>
      </c>
      <c r="H46" s="36"/>
      <c r="I46" s="37">
        <f>F46*G46</f>
        <v>0</v>
      </c>
      <c r="J46" s="38"/>
      <c r="K46" s="9">
        <f>F46+I46</f>
        <v>0</v>
      </c>
    </row>
    <row r="47" spans="1:11">
      <c r="A47" s="39" t="s">
        <v>35</v>
      </c>
      <c r="B47" s="39"/>
      <c r="C47" s="28" t="s">
        <v>36</v>
      </c>
      <c r="D47" s="1"/>
      <c r="E47" s="5">
        <f>poprawki</f>
        <v>2</v>
      </c>
      <c r="F47" s="6">
        <f t="shared" si="0"/>
        <v>0</v>
      </c>
      <c r="G47" s="35">
        <v>0.23</v>
      </c>
      <c r="H47" s="36"/>
      <c r="I47" s="37">
        <f>F47*G47</f>
        <v>0</v>
      </c>
      <c r="J47" s="38"/>
      <c r="K47" s="9">
        <f>F47+I47</f>
        <v>0</v>
      </c>
    </row>
    <row r="48" spans="1:11">
      <c r="A48" s="40" t="s">
        <v>53</v>
      </c>
      <c r="B48" s="39"/>
      <c r="C48" s="28" t="s">
        <v>37</v>
      </c>
      <c r="D48" s="1"/>
      <c r="E48" s="5">
        <f>aktualizacje</f>
        <v>2</v>
      </c>
      <c r="F48" s="6">
        <f t="shared" si="0"/>
        <v>0</v>
      </c>
      <c r="G48" s="35">
        <v>0.23</v>
      </c>
      <c r="H48" s="36"/>
      <c r="I48" s="37">
        <f>F48*G48</f>
        <v>0</v>
      </c>
      <c r="J48" s="38"/>
      <c r="K48" s="9">
        <f>F48+I48</f>
        <v>0</v>
      </c>
    </row>
    <row r="49" spans="1:11">
      <c r="A49" s="55" t="s">
        <v>78</v>
      </c>
      <c r="B49" s="56"/>
      <c r="C49" s="28" t="s">
        <v>34</v>
      </c>
      <c r="D49" s="1"/>
      <c r="E49" s="5">
        <f>K21</f>
        <v>12</v>
      </c>
      <c r="F49" s="6">
        <f>D49*E49</f>
        <v>0</v>
      </c>
      <c r="G49" s="57">
        <v>0.23</v>
      </c>
      <c r="H49" s="58"/>
      <c r="I49" s="59">
        <f>F49*G49</f>
        <v>0</v>
      </c>
      <c r="J49" s="60"/>
      <c r="K49" s="9">
        <f>F49+I49</f>
        <v>0</v>
      </c>
    </row>
    <row r="50" spans="1:1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s="4" customFormat="1" ht="22.95" customHeight="1">
      <c r="A51" s="49" t="s">
        <v>31</v>
      </c>
      <c r="B51" s="50"/>
      <c r="C51" s="31"/>
      <c r="D51" s="31"/>
      <c r="E51" s="31"/>
      <c r="F51" s="31"/>
      <c r="G51" s="31"/>
      <c r="H51" s="31"/>
      <c r="I51" s="31"/>
      <c r="J51" s="62">
        <f>SUM(F25:F49)</f>
        <v>0</v>
      </c>
      <c r="K51" s="63"/>
    </row>
    <row r="52" spans="1:11" s="4" customFormat="1" ht="22.95" customHeight="1">
      <c r="A52" s="51" t="s">
        <v>40</v>
      </c>
      <c r="B52" s="52"/>
      <c r="C52" s="32"/>
      <c r="D52" s="32"/>
      <c r="E52" s="32"/>
      <c r="F52" s="32"/>
      <c r="G52" s="32"/>
      <c r="H52" s="32"/>
      <c r="I52" s="32"/>
      <c r="J52" s="64">
        <f>SUM(J25:J45)+SUM(I25:I45)+SUM(I46:J49)</f>
        <v>0</v>
      </c>
      <c r="K52" s="65"/>
    </row>
    <row r="53" spans="1:11" s="4" customFormat="1" ht="22.95" customHeight="1">
      <c r="A53" s="53" t="s">
        <v>32</v>
      </c>
      <c r="B53" s="54"/>
      <c r="C53" s="33"/>
      <c r="D53" s="33"/>
      <c r="E53" s="33"/>
      <c r="F53" s="33"/>
      <c r="G53" s="33"/>
      <c r="H53" s="33"/>
      <c r="I53" s="33"/>
      <c r="J53" s="47">
        <f>J51+J52</f>
        <v>0</v>
      </c>
      <c r="K53" s="48"/>
    </row>
  </sheetData>
  <mergeCells count="62">
    <mergeCell ref="A45:B45"/>
    <mergeCell ref="A35:B35"/>
    <mergeCell ref="A44:B44"/>
    <mergeCell ref="A42:B42"/>
    <mergeCell ref="A40:B40"/>
    <mergeCell ref="A41:B41"/>
    <mergeCell ref="A37:B37"/>
    <mergeCell ref="A38:B38"/>
    <mergeCell ref="A39:B39"/>
    <mergeCell ref="A36:B36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10:K10"/>
    <mergeCell ref="A22:K22"/>
    <mergeCell ref="A23:B24"/>
    <mergeCell ref="C23:C24"/>
    <mergeCell ref="D23:D24"/>
    <mergeCell ref="E23:E24"/>
    <mergeCell ref="F23:F24"/>
    <mergeCell ref="K23:K24"/>
    <mergeCell ref="A11:B11"/>
    <mergeCell ref="D11:J11"/>
    <mergeCell ref="G23:H23"/>
    <mergeCell ref="I23:J23"/>
    <mergeCell ref="A4:K4"/>
    <mergeCell ref="A1:K1"/>
    <mergeCell ref="A2:K2"/>
    <mergeCell ref="A5:K5"/>
    <mergeCell ref="A6:K6"/>
    <mergeCell ref="J53:K53"/>
    <mergeCell ref="A51:B51"/>
    <mergeCell ref="A52:B52"/>
    <mergeCell ref="A53:B53"/>
    <mergeCell ref="I47:J47"/>
    <mergeCell ref="A49:B49"/>
    <mergeCell ref="G49:H49"/>
    <mergeCell ref="I49:J49"/>
    <mergeCell ref="A50:K50"/>
    <mergeCell ref="G47:H47"/>
    <mergeCell ref="G48:H48"/>
    <mergeCell ref="J51:K51"/>
    <mergeCell ref="J52:K52"/>
    <mergeCell ref="I48:J48"/>
    <mergeCell ref="C7:D7"/>
    <mergeCell ref="C8:D8"/>
    <mergeCell ref="C9:D9"/>
    <mergeCell ref="E8:K8"/>
    <mergeCell ref="E9:K9"/>
    <mergeCell ref="E7:K7"/>
    <mergeCell ref="G46:H46"/>
    <mergeCell ref="I46:J46"/>
    <mergeCell ref="A46:B46"/>
    <mergeCell ref="A47:B47"/>
    <mergeCell ref="A48:B48"/>
  </mergeCells>
  <printOptions horizontalCentered="1"/>
  <pageMargins left="0.59055118110236204" right="0.59055118110236204" top="0.59055118110236204" bottom="0.59055118110236204" header="0.196850393700787" footer="0.196850393700787"/>
  <pageSetup paperSize="8" scale="86" fitToWidth="0" fitToHeight="0" orientation="landscape" horizontalDpi="0" verticalDpi="0" r:id="rId1"/>
  <headerFooter>
    <oddHeader>&amp;R&amp;"Calibri,Standardowy"&amp;K000000Załącznik B do SWZ</oddHeader>
  </headerFooter>
  <ignoredErrors>
    <ignoredError sqref="E37:E38 I37:J38 I44 I41: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19</vt:i4>
      </vt:variant>
    </vt:vector>
  </HeadingPairs>
  <TitlesOfParts>
    <vt:vector size="20" baseType="lpstr">
      <vt:lpstr>Kalkulacja</vt:lpstr>
      <vt:lpstr>aktualizacje</vt:lpstr>
      <vt:lpstr>Czasopisma</vt:lpstr>
      <vt:lpstr>czasopisma_arkusze_obcy</vt:lpstr>
      <vt:lpstr>czasopisma_arkusze_polski</vt:lpstr>
      <vt:lpstr>hasła</vt:lpstr>
      <vt:lpstr>ilustracje</vt:lpstr>
      <vt:lpstr>kolor</vt:lpstr>
      <vt:lpstr>miesiące</vt:lpstr>
      <vt:lpstr>miękka</vt:lpstr>
      <vt:lpstr>Monografie</vt:lpstr>
      <vt:lpstr>monografie_arkusze_obcy</vt:lpstr>
      <vt:lpstr>monografie_arkusze_polski</vt:lpstr>
      <vt:lpstr>nakład</vt:lpstr>
      <vt:lpstr>opisy</vt:lpstr>
      <vt:lpstr>PDF</vt:lpstr>
      <vt:lpstr>poprawki</vt:lpstr>
      <vt:lpstr>projekt</vt:lpstr>
      <vt:lpstr>twarda</vt:lpstr>
      <vt:lpstr>uszlachetnienie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2024-01-18T19:20:43Z</dcterms:created>
  <dcterms:modified xsi:type="dcterms:W3CDTF">2024-01-23T07:35:58Z</dcterms:modified>
  <cp:category/>
</cp:coreProperties>
</file>