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84\UMUsers\m.palusinski\przetargi 2016_2020\Budowa przedszkola\"/>
    </mc:Choice>
  </mc:AlternateContent>
  <xr:revisionPtr revIDLastSave="0" documentId="13_ncr:1_{B6AC3C52-0FB8-4731-8441-3C9F79E955EA}" xr6:coauthVersionLast="47" xr6:coauthVersionMax="47" xr10:uidLastSave="{00000000-0000-0000-0000-000000000000}"/>
  <bookViews>
    <workbookView xWindow="-108" yWindow="-108" windowWidth="23256" windowHeight="12456" activeTab="1" xr2:uid="{B70C402D-6108-485F-8C97-61C23BD6BBF7}"/>
  </bookViews>
  <sheets>
    <sheet name="wycena" sheetId="1" r:id="rId1"/>
    <sheet name="ZZK" sheetId="2" r:id="rId2"/>
  </sheets>
  <definedNames>
    <definedName name="_xlnm.Print_Area" localSheetId="1">ZZK!$B$1:$F$52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2" l="1"/>
  <c r="E47" i="2"/>
  <c r="E48" i="2" l="1"/>
  <c r="D48" i="2"/>
  <c r="H34" i="1" l="1"/>
  <c r="H17" i="1"/>
  <c r="J16" i="1"/>
  <c r="I15" i="1"/>
  <c r="I11" i="1"/>
  <c r="H5" i="1"/>
  <c r="F25" i="1"/>
  <c r="F24" i="1"/>
  <c r="F10" i="1"/>
  <c r="G10" i="1" s="1"/>
  <c r="J10" i="1" s="1"/>
  <c r="F9" i="1"/>
  <c r="G9" i="1" s="1"/>
  <c r="I9" i="1" s="1"/>
  <c r="G8" i="1"/>
  <c r="H8" i="1" s="1"/>
  <c r="G11" i="1"/>
  <c r="G15" i="1"/>
  <c r="G16" i="1"/>
  <c r="G17" i="1"/>
  <c r="G19" i="1"/>
  <c r="H19" i="1" s="1"/>
  <c r="G20" i="1"/>
  <c r="H20" i="1" s="1"/>
  <c r="G21" i="1"/>
  <c r="I21" i="1" s="1"/>
  <c r="G22" i="1"/>
  <c r="I22" i="1" s="1"/>
  <c r="G34" i="1"/>
  <c r="G35" i="1"/>
  <c r="H35" i="1" s="1"/>
  <c r="G37" i="1"/>
  <c r="H37" i="1" s="1"/>
  <c r="G39" i="1"/>
  <c r="H39" i="1" s="1"/>
  <c r="G43" i="1"/>
  <c r="I43" i="1" s="1"/>
  <c r="E44" i="1"/>
  <c r="G44" i="1" s="1"/>
  <c r="J44" i="1" s="1"/>
  <c r="E42" i="1"/>
  <c r="G42" i="1" s="1"/>
  <c r="I42" i="1" s="1"/>
  <c r="E41" i="1"/>
  <c r="G41" i="1" s="1"/>
  <c r="H41" i="1" s="1"/>
  <c r="F30" i="1"/>
  <c r="G30" i="1" s="1"/>
  <c r="I30" i="1" s="1"/>
  <c r="F29" i="1"/>
  <c r="G29" i="1" s="1"/>
  <c r="H29" i="1" s="1"/>
  <c r="F36" i="1"/>
  <c r="G36" i="1" s="1"/>
  <c r="H36" i="1" s="1"/>
  <c r="F38" i="1"/>
  <c r="G38" i="1" s="1"/>
  <c r="H38" i="1" s="1"/>
  <c r="F18" i="1"/>
  <c r="F16" i="1"/>
  <c r="F15" i="1"/>
  <c r="E36" i="1"/>
  <c r="E39" i="1"/>
  <c r="E33" i="1"/>
  <c r="G33" i="1" s="1"/>
  <c r="H33" i="1" s="1"/>
  <c r="E32" i="1"/>
  <c r="G32" i="1" s="1"/>
  <c r="H32" i="1" s="1"/>
  <c r="E28" i="1"/>
  <c r="G28" i="1" s="1"/>
  <c r="J28" i="1" s="1"/>
  <c r="E27" i="1"/>
  <c r="G27" i="1" s="1"/>
  <c r="I27" i="1" s="1"/>
  <c r="E26" i="1"/>
  <c r="G26" i="1" s="1"/>
  <c r="H26" i="1" s="1"/>
  <c r="E25" i="1"/>
  <c r="E24" i="1"/>
  <c r="E23" i="1"/>
  <c r="G23" i="1" s="1"/>
  <c r="H23" i="1" s="1"/>
  <c r="E14" i="1"/>
  <c r="G14" i="1" s="1"/>
  <c r="H14" i="1" s="1"/>
  <c r="E13" i="1"/>
  <c r="G13" i="1" s="1"/>
  <c r="H13" i="1" s="1"/>
  <c r="G24" i="1" l="1"/>
  <c r="I24" i="1" s="1"/>
  <c r="G25" i="1"/>
  <c r="J25" i="1" s="1"/>
  <c r="E18" i="1"/>
  <c r="G18" i="1" s="1"/>
  <c r="H18" i="1" s="1"/>
  <c r="F4" i="1"/>
  <c r="G4" i="1" s="1"/>
  <c r="F6" i="1" s="1"/>
  <c r="G6" i="1" s="1"/>
  <c r="H6" i="1" s="1"/>
  <c r="H4" i="1" l="1"/>
  <c r="J6" i="1"/>
  <c r="J45" i="1" s="1"/>
  <c r="J46" i="1" s="1"/>
  <c r="H45" i="1"/>
  <c r="H46" i="1" s="1"/>
  <c r="I6" i="1"/>
  <c r="I45" i="1" s="1"/>
  <c r="I46" i="1" s="1"/>
  <c r="G45" i="1"/>
  <c r="G49" i="1"/>
  <c r="H49" i="1" s="1"/>
  <c r="G46" i="1" l="1"/>
  <c r="G50" i="1"/>
  <c r="H50" i="1" s="1"/>
</calcChain>
</file>

<file path=xl/sharedStrings.xml><?xml version="1.0" encoding="utf-8"?>
<sst xmlns="http://schemas.openxmlformats.org/spreadsheetml/2006/main" count="232" uniqueCount="109">
  <si>
    <t>ETAP I</t>
  </si>
  <si>
    <t>ETAP II</t>
  </si>
  <si>
    <t>ETAP III</t>
  </si>
  <si>
    <t>opracowanie dokumentacji projektowej</t>
  </si>
  <si>
    <t>pełnienie nadzoru autorskiego</t>
  </si>
  <si>
    <t>przeniesienie praw autorskich do wykonanej dokumentacji projektowej na rzecz Zamawiającego</t>
  </si>
  <si>
    <t>parametr</t>
  </si>
  <si>
    <t xml:space="preserve">ilość </t>
  </si>
  <si>
    <t>c.j.</t>
  </si>
  <si>
    <t>zagospodarowanie terenu:</t>
  </si>
  <si>
    <t>przyłącze kanalizacji sanitarnej</t>
  </si>
  <si>
    <t>przyłącze kanalizacji deszczowej</t>
  </si>
  <si>
    <t>przyłącze elektroenergetyczne</t>
  </si>
  <si>
    <t>przyłącze telekomunikacyjne</t>
  </si>
  <si>
    <t>wyposażenie kuchni (technologia kuchni)</t>
  </si>
  <si>
    <t>drogi, place, miejsca parkingowe</t>
  </si>
  <si>
    <t>wiata śmietnikowa</t>
  </si>
  <si>
    <t>nawierzchnie trawiaste</t>
  </si>
  <si>
    <t>nasadzenia</t>
  </si>
  <si>
    <t>budowa budynku wg. zakresu określonego dla etapu I</t>
  </si>
  <si>
    <t>budowa budynku wg. zakresu określonego dla etapu II</t>
  </si>
  <si>
    <t>budowa budynku wg. zakresu określonego dla etapu III</t>
  </si>
  <si>
    <t>plac zabaw przezaczony dla Klubu dziecięcego</t>
  </si>
  <si>
    <t>plac zabaw przezaczony dla przedszkola</t>
  </si>
  <si>
    <t>ogordzenia wg. zakresu określonego dla etapu I</t>
  </si>
  <si>
    <t>ogordzenia wg. zakresu określonego dla etapu II</t>
  </si>
  <si>
    <t>ogordzenia wg. zakresu określonego dla etapu III</t>
  </si>
  <si>
    <t>wyposażenie meblowe i sprzętowe wg. zakresu określonego dla etapu I</t>
  </si>
  <si>
    <t>wyposażenie meblowe i sprzętowe wg. zakresu określonego dla etapu III</t>
  </si>
  <si>
    <t>instalacja fotowoltaiczna o mocy od 49 do 50 kWp</t>
  </si>
  <si>
    <t>wyposażenie</t>
  </si>
  <si>
    <t>przyłącza, sieci i instalacje zewnętrzne</t>
  </si>
  <si>
    <t>mała architektura wg. zakresu określonego dla etapu I</t>
  </si>
  <si>
    <t>mała architektura wg. zakresu określonego dla etapu II</t>
  </si>
  <si>
    <t>%</t>
  </si>
  <si>
    <t>kpl.</t>
  </si>
  <si>
    <t>ujęto w cenie poz. 1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</si>
  <si>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</si>
  <si>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</si>
  <si>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</si>
  <si>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</si>
  <si>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</si>
  <si>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</si>
  <si>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</si>
  <si>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</si>
  <si>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</si>
  <si>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4.5</t>
  </si>
  <si>
    <t>4.6</t>
  </si>
  <si>
    <t>5.</t>
  </si>
  <si>
    <t>5.1</t>
  </si>
  <si>
    <t>5.2</t>
  </si>
  <si>
    <t>5.3</t>
  </si>
  <si>
    <t>5.4</t>
  </si>
  <si>
    <t>wyposażenie meblowe i sprzętowe wg. zakresu określonego dla etapu II (z wyłączeniem wyposażenia kuchni)</t>
  </si>
  <si>
    <t>p.u.</t>
  </si>
  <si>
    <t>n.d.</t>
  </si>
  <si>
    <t>dokumentacja projektowa, usługi projektowe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</si>
  <si>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</si>
  <si>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</si>
  <si>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</si>
  <si>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</si>
  <si>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</si>
  <si>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</si>
  <si>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</si>
  <si>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</si>
  <si>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</si>
  <si>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budowa budynku (stan pod klucz), w tym:</t>
  </si>
  <si>
    <t>3.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</si>
  <si>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</si>
  <si>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</si>
  <si>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</si>
  <si>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</si>
  <si>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</si>
  <si>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</si>
  <si>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</si>
  <si>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</si>
  <si>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</si>
  <si>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chodniki wg. zakresu określonego dla etapu I</t>
  </si>
  <si>
    <t>chodniki wg. zakresu określonego dla etapu II</t>
  </si>
  <si>
    <t>3.14</t>
  </si>
  <si>
    <t>l.p.</t>
  </si>
  <si>
    <t>zakres</t>
  </si>
  <si>
    <t>m</t>
  </si>
  <si>
    <t>szt.</t>
  </si>
  <si>
    <t>m2</t>
  </si>
  <si>
    <t>tarasy wg. zakresu określonego dla etapu I</t>
  </si>
  <si>
    <t>tarasy wg. zakresu określonego dla etapu II</t>
  </si>
  <si>
    <t>tarasy wg. zakresu określonego dla etapu III</t>
  </si>
  <si>
    <t>3.15</t>
  </si>
  <si>
    <t>3.16</t>
  </si>
  <si>
    <t>3.17</t>
  </si>
  <si>
    <t>chodniki wg. zakresu określonego dla etapu III</t>
  </si>
  <si>
    <t>ogródek warzywny</t>
  </si>
  <si>
    <t>przyłącze wodociągowe (woda bytowa)</t>
  </si>
  <si>
    <t>przyłącze wodociągowe (woda pożarowa)</t>
  </si>
  <si>
    <t>3.18</t>
  </si>
  <si>
    <t>RAZEM NETTO</t>
  </si>
  <si>
    <t>RAZEM BRUTTO</t>
  </si>
  <si>
    <t>RAZEM</t>
  </si>
  <si>
    <t>oświetlenie terenu + monitoring</t>
  </si>
  <si>
    <t>ZBIORCZE ZESTAWIENIE KOSZTÓW</t>
  </si>
  <si>
    <t>ZAKRES ZADEKLAROWANY</t>
  </si>
  <si>
    <t>PRAWO OPACJI</t>
  </si>
  <si>
    <t>Kluby dziecięce</t>
  </si>
  <si>
    <t>Przedszkole</t>
  </si>
  <si>
    <t>netto</t>
  </si>
  <si>
    <t>brutto</t>
  </si>
  <si>
    <t>załącznik nr 3</t>
  </si>
  <si>
    <t>Kwalifikowany podpis elektroniczny/podpis zaufany/podpis osobisty osoby/osób uprawnionej (ych) do reprezentowania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</si>
</sst>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Font="1" applyAlignment="1">
      <alignment horizontal="center" vertical="center"/>
    </xf>
    <xf numFmtId="44" fontId="0" fillId="0" borderId="0" xfId="0" applyNumberFormat="1"/>
    <xf numFmtId="49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44" fontId="2" fillId="2" borderId="2" xfId="1" applyFont="1" applyFill="1" applyBorder="1" applyAlignment="1">
      <alignment horizontal="center"/>
    </xf>
    <xf numFmtId="44" fontId="2" fillId="2" borderId="3" xfId="1" applyFon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44" fontId="0" fillId="0" borderId="5" xfId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44" fontId="0" fillId="0" borderId="11" xfId="1" applyFont="1" applyBorder="1" applyAlignment="1">
      <alignment horizontal="center"/>
    </xf>
    <xf numFmtId="44" fontId="2" fillId="2" borderId="1" xfId="1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44" fontId="2" fillId="2" borderId="9" xfId="1" applyFont="1" applyFill="1" applyBorder="1" applyAlignment="1">
      <alignment horizontal="center" vertical="center"/>
    </xf>
    <xf numFmtId="44" fontId="2" fillId="2" borderId="10" xfId="1" applyFont="1" applyFill="1" applyBorder="1" applyAlignment="1">
      <alignment horizontal="center" vertical="center"/>
    </xf>
    <xf numFmtId="44" fontId="2" fillId="2" borderId="11" xfId="1" applyFont="1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/>
    </xf>
    <xf numFmtId="49" fontId="0" fillId="4" borderId="4" xfId="0" applyNumberFormat="1" applyFill="1" applyBorder="1" applyAlignment="1">
      <alignment horizontal="center"/>
    </xf>
    <xf numFmtId="49" fontId="0" fillId="5" borderId="4" xfId="0" applyNumberFormat="1" applyFill="1" applyBorder="1" applyAlignment="1">
      <alignment horizontal="center"/>
    </xf>
    <xf numFmtId="44" fontId="0" fillId="6" borderId="7" xfId="1" applyFont="1" applyFill="1" applyBorder="1" applyAlignment="1">
      <alignment horizontal="center"/>
    </xf>
    <xf numFmtId="44" fontId="0" fillId="6" borderId="8" xfId="1" applyFont="1" applyFill="1" applyBorder="1" applyAlignment="1">
      <alignment horizontal="center"/>
    </xf>
    <xf numFmtId="44" fontId="0" fillId="6" borderId="15" xfId="1" applyFont="1" applyFill="1" applyBorder="1" applyAlignment="1">
      <alignment horizontal="center"/>
    </xf>
    <xf numFmtId="44" fontId="0" fillId="7" borderId="5" xfId="1" applyFont="1" applyFill="1" applyBorder="1" applyAlignment="1">
      <alignment horizontal="center"/>
    </xf>
    <xf numFmtId="44" fontId="0" fillId="7" borderId="6" xfId="1" applyFont="1" applyFill="1" applyBorder="1" applyAlignment="1">
      <alignment horizontal="center"/>
    </xf>
    <xf numFmtId="44" fontId="0" fillId="8" borderId="5" xfId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4" fontId="2" fillId="8" borderId="20" xfId="1" applyFont="1" applyFill="1" applyBorder="1" applyAlignment="1">
      <alignment horizontal="center"/>
    </xf>
    <xf numFmtId="44" fontId="2" fillId="8" borderId="5" xfId="1" applyFont="1" applyFill="1" applyBorder="1" applyAlignment="1">
      <alignment horizontal="center"/>
    </xf>
    <xf numFmtId="44" fontId="2" fillId="7" borderId="5" xfId="1" applyFont="1" applyFill="1" applyBorder="1" applyAlignment="1">
      <alignment horizontal="center"/>
    </xf>
    <xf numFmtId="44" fontId="2" fillId="7" borderId="6" xfId="1" applyFont="1" applyFill="1" applyBorder="1" applyAlignment="1">
      <alignment horizontal="center"/>
    </xf>
    <xf numFmtId="0" fontId="0" fillId="0" borderId="23" xfId="0" applyBorder="1"/>
    <xf numFmtId="44" fontId="2" fillId="8" borderId="9" xfId="1" applyFont="1" applyFill="1" applyBorder="1" applyAlignment="1">
      <alignment horizontal="center" vertical="center"/>
    </xf>
    <xf numFmtId="44" fontId="0" fillId="6" borderId="25" xfId="1" applyFont="1" applyFill="1" applyBorder="1" applyAlignment="1">
      <alignment horizontal="center"/>
    </xf>
    <xf numFmtId="44" fontId="0" fillId="7" borderId="26" xfId="1" applyFont="1" applyFill="1" applyBorder="1" applyAlignment="1">
      <alignment horizontal="center"/>
    </xf>
    <xf numFmtId="44" fontId="2" fillId="8" borderId="1" xfId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right" indent="3"/>
    </xf>
    <xf numFmtId="0" fontId="2" fillId="0" borderId="0" xfId="0" applyFont="1" applyAlignment="1">
      <alignment horizontal="right" indent="3"/>
    </xf>
    <xf numFmtId="49" fontId="0" fillId="0" borderId="28" xfId="0" applyNumberForma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49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5" borderId="12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44" fontId="2" fillId="7" borderId="23" xfId="1" applyFont="1" applyFill="1" applyBorder="1" applyAlignment="1">
      <alignment horizontal="center" vertical="center"/>
    </xf>
    <xf numFmtId="44" fontId="2" fillId="7" borderId="24" xfId="1" applyFont="1" applyFill="1" applyBorder="1" applyAlignment="1">
      <alignment horizontal="center" vertical="center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2" fillId="6" borderId="17" xfId="0" applyNumberFormat="1" applyFont="1" applyFill="1" applyBorder="1" applyAlignment="1">
      <alignment horizontal="center" vertical="center"/>
    </xf>
    <xf numFmtId="49" fontId="2" fillId="6" borderId="19" xfId="0" applyNumberFormat="1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44" fontId="2" fillId="7" borderId="21" xfId="1" applyFont="1" applyFill="1" applyBorder="1" applyAlignment="1">
      <alignment horizontal="center"/>
    </xf>
    <xf numFmtId="44" fontId="2" fillId="7" borderId="22" xfId="1" applyFont="1" applyFill="1" applyBorder="1" applyAlignment="1">
      <alignment horizontal="center"/>
    </xf>
    <xf numFmtId="44" fontId="2" fillId="7" borderId="20" xfId="1" applyFont="1" applyFill="1" applyBorder="1" applyAlignment="1">
      <alignment horizontal="center" vertical="center"/>
    </xf>
    <xf numFmtId="44" fontId="2" fillId="7" borderId="22" xfId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9A624-1ED4-4ED9-9684-05EF08569FAC}">
  <dimension ref="B1:L50"/>
  <sheetViews>
    <sheetView workbookViewId="0">
      <selection activeCell="E49" sqref="E49"/>
    </sheetView>
  </sheetViews>
  <sheetFormatPr defaultRowHeight="14.4" x14ac:dyDescent="0.3"/>
  <cols>
    <col min="2" max="2" width="9.109375" style="2"/>
    <col min="3" max="3" width="100.6640625" customWidth="1"/>
    <col min="4" max="5" width="20.6640625" style="1" customWidth="1"/>
    <col min="6" max="7" width="20.6640625" style="4" customWidth="1"/>
    <col min="8" max="10" width="20.6640625" style="3" customWidth="1"/>
    <col min="12" max="12" width="15.88671875" bestFit="1" customWidth="1"/>
  </cols>
  <sheetData>
    <row r="1" spans="2:12" ht="15" thickBot="1" x14ac:dyDescent="0.35"/>
    <row r="2" spans="2:12" x14ac:dyDescent="0.3">
      <c r="B2" s="6" t="s">
        <v>80</v>
      </c>
      <c r="C2" s="7" t="s">
        <v>81</v>
      </c>
      <c r="D2" s="8" t="s">
        <v>6</v>
      </c>
      <c r="E2" s="8" t="s">
        <v>7</v>
      </c>
      <c r="F2" s="9" t="s">
        <v>8</v>
      </c>
      <c r="G2" s="9" t="s">
        <v>98</v>
      </c>
      <c r="H2" s="10" t="s">
        <v>0</v>
      </c>
      <c r="I2" s="10" t="s">
        <v>1</v>
      </c>
      <c r="J2" s="11" t="s">
        <v>2</v>
      </c>
    </row>
    <row r="3" spans="2:12" x14ac:dyDescent="0.3">
      <c r="B3" s="28" t="s">
        <v>57</v>
      </c>
      <c r="C3" s="51" t="s">
        <v>56</v>
      </c>
      <c r="D3" s="52"/>
      <c r="E3" s="52"/>
      <c r="F3" s="52"/>
      <c r="G3" s="52"/>
      <c r="H3" s="52"/>
      <c r="I3" s="52"/>
      <c r="J3" s="53"/>
    </row>
    <row r="4" spans="2:12" x14ac:dyDescent="0.3">
      <c r="B4" s="12" t="s">
        <v>58</v>
      </c>
      <c r="C4" s="13" t="s">
        <v>3</v>
      </c>
      <c r="D4" s="14" t="s">
        <v>34</v>
      </c>
      <c r="E4" s="14">
        <v>4.2</v>
      </c>
      <c r="F4" s="15">
        <f>SUM(G8:G11,G13:G30,G32:G39)</f>
        <v>16966589.396260001</v>
      </c>
      <c r="G4" s="15">
        <f>E4*F4/100</f>
        <v>712596.7546429201</v>
      </c>
      <c r="H4" s="16">
        <f>G4</f>
        <v>712596.7546429201</v>
      </c>
      <c r="I4" s="31"/>
      <c r="J4" s="32"/>
    </row>
    <row r="5" spans="2:12" x14ac:dyDescent="0.3">
      <c r="B5" s="12" t="s">
        <v>59</v>
      </c>
      <c r="C5" s="13" t="s">
        <v>5</v>
      </c>
      <c r="D5" s="14" t="s">
        <v>35</v>
      </c>
      <c r="E5" s="14" t="s">
        <v>36</v>
      </c>
      <c r="F5" s="15"/>
      <c r="G5" s="15"/>
      <c r="H5" s="16">
        <f>G5</f>
        <v>0</v>
      </c>
      <c r="I5" s="31"/>
      <c r="J5" s="32"/>
    </row>
    <row r="6" spans="2:12" x14ac:dyDescent="0.3">
      <c r="B6" s="12" t="s">
        <v>60</v>
      </c>
      <c r="C6" s="13" t="s">
        <v>4</v>
      </c>
      <c r="D6" s="14" t="s">
        <v>34</v>
      </c>
      <c r="E6" s="14">
        <v>15</v>
      </c>
      <c r="F6" s="15">
        <f>G4</f>
        <v>712596.7546429201</v>
      </c>
      <c r="G6" s="15">
        <f>E6*F6/100</f>
        <v>106889.51319643801</v>
      </c>
      <c r="H6" s="16">
        <f>SUM(H7:H39)/SUM($H7:$J39)*G6</f>
        <v>39463.97437243801</v>
      </c>
      <c r="I6" s="16">
        <f>SUM(I7:I39)/SUM($H7:$J39)*G6</f>
        <v>45587.673306000004</v>
      </c>
      <c r="J6" s="17">
        <f>SUM(J7:J39)/SUM($H7:$J39)*G6</f>
        <v>21837.865518000002</v>
      </c>
    </row>
    <row r="7" spans="2:12" x14ac:dyDescent="0.3">
      <c r="B7" s="29" t="s">
        <v>61</v>
      </c>
      <c r="C7" s="59" t="s">
        <v>66</v>
      </c>
      <c r="D7" s="60" t="s">
        <v>55</v>
      </c>
      <c r="E7" s="60" t="s">
        <v>55</v>
      </c>
      <c r="F7" s="60" t="s">
        <v>55</v>
      </c>
      <c r="G7" s="60"/>
      <c r="H7" s="60"/>
      <c r="I7" s="60"/>
      <c r="J7" s="61"/>
    </row>
    <row r="8" spans="2:12" x14ac:dyDescent="0.3">
      <c r="B8" s="12" t="s">
        <v>62</v>
      </c>
      <c r="C8" s="13" t="s">
        <v>19</v>
      </c>
      <c r="D8" s="14" t="s">
        <v>54</v>
      </c>
      <c r="E8" s="14">
        <v>357.17</v>
      </c>
      <c r="F8" s="15">
        <v>6700</v>
      </c>
      <c r="G8" s="15">
        <f t="shared" ref="G8:G44" si="0">E8*F8</f>
        <v>2393039</v>
      </c>
      <c r="H8" s="16">
        <f>G8</f>
        <v>2393039</v>
      </c>
      <c r="I8" s="31"/>
      <c r="J8" s="32"/>
    </row>
    <row r="9" spans="2:12" x14ac:dyDescent="0.3">
      <c r="B9" s="12" t="s">
        <v>63</v>
      </c>
      <c r="C9" s="13" t="s">
        <v>20</v>
      </c>
      <c r="D9" s="14" t="s">
        <v>54</v>
      </c>
      <c r="E9" s="14">
        <v>984.87</v>
      </c>
      <c r="F9" s="15">
        <f>F8</f>
        <v>6700</v>
      </c>
      <c r="G9" s="15">
        <f t="shared" si="0"/>
        <v>6598629</v>
      </c>
      <c r="H9" s="31"/>
      <c r="I9" s="16">
        <f>G9</f>
        <v>6598629</v>
      </c>
      <c r="J9" s="32"/>
      <c r="L9" s="5"/>
    </row>
    <row r="10" spans="2:12" x14ac:dyDescent="0.3">
      <c r="B10" s="12" t="s">
        <v>64</v>
      </c>
      <c r="C10" s="13" t="s">
        <v>21</v>
      </c>
      <c r="D10" s="14" t="s">
        <v>54</v>
      </c>
      <c r="E10" s="14">
        <v>507.42</v>
      </c>
      <c r="F10" s="15">
        <f>F8</f>
        <v>6700</v>
      </c>
      <c r="G10" s="15">
        <f t="shared" si="0"/>
        <v>3399714</v>
      </c>
      <c r="H10" s="31"/>
      <c r="I10" s="31"/>
      <c r="J10" s="17">
        <f>G10</f>
        <v>3399714</v>
      </c>
    </row>
    <row r="11" spans="2:12" x14ac:dyDescent="0.3">
      <c r="B11" s="12" t="s">
        <v>65</v>
      </c>
      <c r="C11" s="13" t="s">
        <v>29</v>
      </c>
      <c r="D11" s="14" t="s">
        <v>35</v>
      </c>
      <c r="E11" s="14">
        <v>1</v>
      </c>
      <c r="F11" s="15">
        <v>200000</v>
      </c>
      <c r="G11" s="15">
        <f t="shared" si="0"/>
        <v>200000</v>
      </c>
      <c r="H11" s="31"/>
      <c r="I11" s="16">
        <f>G11</f>
        <v>200000</v>
      </c>
      <c r="J11" s="32"/>
    </row>
    <row r="12" spans="2:12" x14ac:dyDescent="0.3">
      <c r="B12" s="29" t="s">
        <v>67</v>
      </c>
      <c r="C12" s="59" t="s">
        <v>9</v>
      </c>
      <c r="D12" s="60"/>
      <c r="E12" s="60"/>
      <c r="F12" s="60"/>
      <c r="G12" s="60"/>
      <c r="H12" s="60"/>
      <c r="I12" s="60"/>
      <c r="J12" s="61"/>
    </row>
    <row r="13" spans="2:12" x14ac:dyDescent="0.3">
      <c r="B13" s="12" t="s">
        <v>37</v>
      </c>
      <c r="C13" s="13" t="s">
        <v>15</v>
      </c>
      <c r="D13" s="14" t="s">
        <v>84</v>
      </c>
      <c r="E13" s="14">
        <f>2545.06+400.86</f>
        <v>2945.92</v>
      </c>
      <c r="F13" s="15">
        <v>408</v>
      </c>
      <c r="G13" s="15">
        <f t="shared" si="0"/>
        <v>1201935.3600000001</v>
      </c>
      <c r="H13" s="16">
        <f>G13</f>
        <v>1201935.3600000001</v>
      </c>
      <c r="I13" s="31"/>
      <c r="J13" s="32"/>
    </row>
    <row r="14" spans="2:12" x14ac:dyDescent="0.3">
      <c r="B14" s="12" t="s">
        <v>38</v>
      </c>
      <c r="C14" s="13" t="s">
        <v>77</v>
      </c>
      <c r="D14" s="14" t="s">
        <v>84</v>
      </c>
      <c r="E14" s="14">
        <f>1200.47-E15-E16</f>
        <v>1062.8600000000001</v>
      </c>
      <c r="F14" s="15">
        <v>298</v>
      </c>
      <c r="G14" s="15">
        <f t="shared" si="0"/>
        <v>316732.28000000003</v>
      </c>
      <c r="H14" s="16">
        <f>G14</f>
        <v>316732.28000000003</v>
      </c>
      <c r="I14" s="31"/>
      <c r="J14" s="32"/>
    </row>
    <row r="15" spans="2:12" x14ac:dyDescent="0.3">
      <c r="B15" s="12" t="s">
        <v>39</v>
      </c>
      <c r="C15" s="13" t="s">
        <v>78</v>
      </c>
      <c r="D15" s="14" t="s">
        <v>84</v>
      </c>
      <c r="E15" s="14">
        <v>135.79</v>
      </c>
      <c r="F15" s="15">
        <f>F14</f>
        <v>298</v>
      </c>
      <c r="G15" s="15">
        <f t="shared" si="0"/>
        <v>40465.42</v>
      </c>
      <c r="H15" s="31"/>
      <c r="I15" s="16">
        <f>G15</f>
        <v>40465.42</v>
      </c>
      <c r="J15" s="32"/>
    </row>
    <row r="16" spans="2:12" x14ac:dyDescent="0.3">
      <c r="B16" s="12" t="s">
        <v>40</v>
      </c>
      <c r="C16" s="13" t="s">
        <v>91</v>
      </c>
      <c r="D16" s="14" t="s">
        <v>84</v>
      </c>
      <c r="E16" s="14">
        <v>1.82</v>
      </c>
      <c r="F16" s="15">
        <f>F14</f>
        <v>298</v>
      </c>
      <c r="G16" s="15">
        <f t="shared" si="0"/>
        <v>542.36</v>
      </c>
      <c r="H16" s="31"/>
      <c r="I16" s="31"/>
      <c r="J16" s="17">
        <f>G16</f>
        <v>542.36</v>
      </c>
    </row>
    <row r="17" spans="2:10" x14ac:dyDescent="0.3">
      <c r="B17" s="12" t="s">
        <v>68</v>
      </c>
      <c r="C17" s="13" t="s">
        <v>16</v>
      </c>
      <c r="D17" s="14" t="s">
        <v>83</v>
      </c>
      <c r="E17" s="14">
        <v>1</v>
      </c>
      <c r="F17" s="15">
        <v>12000</v>
      </c>
      <c r="G17" s="15">
        <f t="shared" si="0"/>
        <v>12000</v>
      </c>
      <c r="H17" s="16">
        <f>G17</f>
        <v>12000</v>
      </c>
      <c r="I17" s="31"/>
      <c r="J17" s="32"/>
    </row>
    <row r="18" spans="2:10" x14ac:dyDescent="0.3">
      <c r="B18" s="12" t="s">
        <v>69</v>
      </c>
      <c r="C18" s="13" t="s">
        <v>17</v>
      </c>
      <c r="D18" s="14" t="s">
        <v>84</v>
      </c>
      <c r="E18" s="14">
        <f>1.3461*100*100-E8-E9-E10-E13-E14-E15-E16-E20-E21-E22-E23-E24-E25</f>
        <v>6376.7000000000007</v>
      </c>
      <c r="F18" s="15">
        <f>353478/10000</f>
        <v>35.347799999999999</v>
      </c>
      <c r="G18" s="15">
        <f t="shared" si="0"/>
        <v>225402.31626000002</v>
      </c>
      <c r="H18" s="16">
        <f>G18</f>
        <v>225402.31626000002</v>
      </c>
      <c r="I18" s="31"/>
      <c r="J18" s="32"/>
    </row>
    <row r="19" spans="2:10" x14ac:dyDescent="0.3">
      <c r="B19" s="12" t="s">
        <v>70</v>
      </c>
      <c r="C19" s="13" t="s">
        <v>18</v>
      </c>
      <c r="D19" s="14" t="s">
        <v>83</v>
      </c>
      <c r="E19" s="14">
        <v>32</v>
      </c>
      <c r="F19" s="15">
        <v>2000</v>
      </c>
      <c r="G19" s="15">
        <f t="shared" si="0"/>
        <v>64000</v>
      </c>
      <c r="H19" s="16">
        <f>G19</f>
        <v>64000</v>
      </c>
      <c r="I19" s="31"/>
      <c r="J19" s="32"/>
    </row>
    <row r="20" spans="2:10" x14ac:dyDescent="0.3">
      <c r="B20" s="12" t="s">
        <v>71</v>
      </c>
      <c r="C20" s="13" t="s">
        <v>22</v>
      </c>
      <c r="D20" s="14" t="s">
        <v>84</v>
      </c>
      <c r="E20" s="14">
        <v>229.2</v>
      </c>
      <c r="F20" s="15">
        <v>685</v>
      </c>
      <c r="G20" s="15">
        <f t="shared" si="0"/>
        <v>157002</v>
      </c>
      <c r="H20" s="16">
        <f>G20</f>
        <v>157002</v>
      </c>
      <c r="I20" s="31"/>
      <c r="J20" s="32"/>
    </row>
    <row r="21" spans="2:10" x14ac:dyDescent="0.3">
      <c r="B21" s="12" t="s">
        <v>72</v>
      </c>
      <c r="C21" s="13" t="s">
        <v>23</v>
      </c>
      <c r="D21" s="14" t="s">
        <v>84</v>
      </c>
      <c r="E21" s="14">
        <v>312.3</v>
      </c>
      <c r="F21" s="15">
        <v>685</v>
      </c>
      <c r="G21" s="15">
        <f t="shared" si="0"/>
        <v>213925.5</v>
      </c>
      <c r="H21" s="31"/>
      <c r="I21" s="16">
        <f>G21</f>
        <v>213925.5</v>
      </c>
      <c r="J21" s="32"/>
    </row>
    <row r="22" spans="2:10" x14ac:dyDescent="0.3">
      <c r="B22" s="12" t="s">
        <v>73</v>
      </c>
      <c r="C22" s="13" t="s">
        <v>92</v>
      </c>
      <c r="D22" s="14" t="s">
        <v>84</v>
      </c>
      <c r="E22" s="14">
        <v>138.80000000000001</v>
      </c>
      <c r="F22" s="15">
        <v>279</v>
      </c>
      <c r="G22" s="15">
        <f t="shared" si="0"/>
        <v>38725.200000000004</v>
      </c>
      <c r="H22" s="31"/>
      <c r="I22" s="16">
        <f>G22</f>
        <v>38725.200000000004</v>
      </c>
      <c r="J22" s="32"/>
    </row>
    <row r="23" spans="2:10" x14ac:dyDescent="0.3">
      <c r="B23" s="12" t="s">
        <v>74</v>
      </c>
      <c r="C23" s="13" t="s">
        <v>85</v>
      </c>
      <c r="D23" s="14" t="s">
        <v>84</v>
      </c>
      <c r="E23" s="14">
        <f>6.85*4.5*2</f>
        <v>61.65</v>
      </c>
      <c r="F23" s="15">
        <v>250</v>
      </c>
      <c r="G23" s="15">
        <f t="shared" si="0"/>
        <v>15412.5</v>
      </c>
      <c r="H23" s="16">
        <f>G23</f>
        <v>15412.5</v>
      </c>
      <c r="I23" s="31"/>
      <c r="J23" s="32"/>
    </row>
    <row r="24" spans="2:10" x14ac:dyDescent="0.3">
      <c r="B24" s="12" t="s">
        <v>75</v>
      </c>
      <c r="C24" s="13" t="s">
        <v>86</v>
      </c>
      <c r="D24" s="14" t="s">
        <v>84</v>
      </c>
      <c r="E24" s="14">
        <f>7.7*4.5*6</f>
        <v>207.89999999999998</v>
      </c>
      <c r="F24" s="15">
        <f>F23</f>
        <v>250</v>
      </c>
      <c r="G24" s="15">
        <f t="shared" si="0"/>
        <v>51974.999999999993</v>
      </c>
      <c r="H24" s="31"/>
      <c r="I24" s="16">
        <f>G24</f>
        <v>51974.999999999993</v>
      </c>
      <c r="J24" s="32"/>
    </row>
    <row r="25" spans="2:10" x14ac:dyDescent="0.3">
      <c r="B25" s="12" t="s">
        <v>76</v>
      </c>
      <c r="C25" s="13" t="s">
        <v>87</v>
      </c>
      <c r="D25" s="14" t="s">
        <v>84</v>
      </c>
      <c r="E25" s="14">
        <f>7.7*4.5*4</f>
        <v>138.6</v>
      </c>
      <c r="F25" s="15">
        <f>F23</f>
        <v>250</v>
      </c>
      <c r="G25" s="15">
        <f t="shared" si="0"/>
        <v>34650</v>
      </c>
      <c r="H25" s="31"/>
      <c r="I25" s="31"/>
      <c r="J25" s="17">
        <f>G25</f>
        <v>34650</v>
      </c>
    </row>
    <row r="26" spans="2:10" x14ac:dyDescent="0.3">
      <c r="B26" s="12" t="s">
        <v>79</v>
      </c>
      <c r="C26" s="13" t="s">
        <v>24</v>
      </c>
      <c r="D26" s="14" t="s">
        <v>82</v>
      </c>
      <c r="E26" s="14">
        <f>(90.5+111.5)*2+2*10+21+(12+19.5)*2</f>
        <v>508</v>
      </c>
      <c r="F26" s="15">
        <v>319</v>
      </c>
      <c r="G26" s="15">
        <f t="shared" si="0"/>
        <v>162052</v>
      </c>
      <c r="H26" s="16">
        <f>G26</f>
        <v>162052</v>
      </c>
      <c r="I26" s="31"/>
      <c r="J26" s="32"/>
    </row>
    <row r="27" spans="2:10" x14ac:dyDescent="0.3">
      <c r="B27" s="12" t="s">
        <v>88</v>
      </c>
      <c r="C27" s="13" t="s">
        <v>25</v>
      </c>
      <c r="D27" s="14" t="s">
        <v>82</v>
      </c>
      <c r="E27" s="14">
        <f>23.5*2+19.5*3+4*12+28.5+31.5+12*4</f>
        <v>261.5</v>
      </c>
      <c r="F27" s="15">
        <v>319</v>
      </c>
      <c r="G27" s="15">
        <f t="shared" si="0"/>
        <v>83418.5</v>
      </c>
      <c r="H27" s="31"/>
      <c r="I27" s="16">
        <f>G27</f>
        <v>83418.5</v>
      </c>
      <c r="J27" s="32"/>
    </row>
    <row r="28" spans="2:10" x14ac:dyDescent="0.3">
      <c r="B28" s="12" t="s">
        <v>89</v>
      </c>
      <c r="C28" s="13" t="s">
        <v>26</v>
      </c>
      <c r="D28" s="14" t="s">
        <v>82</v>
      </c>
      <c r="E28" s="14">
        <f>3*12+18+2*12+20.5</f>
        <v>98.5</v>
      </c>
      <c r="F28" s="15">
        <v>319</v>
      </c>
      <c r="G28" s="15">
        <f t="shared" si="0"/>
        <v>31421.5</v>
      </c>
      <c r="H28" s="31"/>
      <c r="I28" s="31"/>
      <c r="J28" s="17">
        <f>G28</f>
        <v>31421.5</v>
      </c>
    </row>
    <row r="29" spans="2:10" x14ac:dyDescent="0.3">
      <c r="B29" s="12" t="s">
        <v>90</v>
      </c>
      <c r="C29" s="13" t="s">
        <v>32</v>
      </c>
      <c r="D29" s="14" t="s">
        <v>35</v>
      </c>
      <c r="E29" s="14">
        <v>1</v>
      </c>
      <c r="F29" s="15">
        <f>6*1500+5*750</f>
        <v>12750</v>
      </c>
      <c r="G29" s="15">
        <f t="shared" si="0"/>
        <v>12750</v>
      </c>
      <c r="H29" s="16">
        <f>G29</f>
        <v>12750</v>
      </c>
      <c r="I29" s="31"/>
      <c r="J29" s="32"/>
    </row>
    <row r="30" spans="2:10" x14ac:dyDescent="0.3">
      <c r="B30" s="12" t="s">
        <v>95</v>
      </c>
      <c r="C30" s="13" t="s">
        <v>33</v>
      </c>
      <c r="D30" s="14" t="s">
        <v>35</v>
      </c>
      <c r="E30" s="14">
        <v>1</v>
      </c>
      <c r="F30" s="15">
        <f>6*1500</f>
        <v>9000</v>
      </c>
      <c r="G30" s="15">
        <f t="shared" si="0"/>
        <v>9000</v>
      </c>
      <c r="H30" s="31"/>
      <c r="I30" s="16">
        <f>G30</f>
        <v>9000</v>
      </c>
      <c r="J30" s="32"/>
    </row>
    <row r="31" spans="2:10" x14ac:dyDescent="0.3">
      <c r="B31" s="29" t="s">
        <v>41</v>
      </c>
      <c r="C31" s="59" t="s">
        <v>31</v>
      </c>
      <c r="D31" s="60"/>
      <c r="E31" s="60"/>
      <c r="F31" s="60"/>
      <c r="G31" s="60"/>
      <c r="H31" s="60"/>
      <c r="I31" s="60"/>
      <c r="J31" s="61"/>
    </row>
    <row r="32" spans="2:10" x14ac:dyDescent="0.3">
      <c r="B32" s="12" t="s">
        <v>42</v>
      </c>
      <c r="C32" s="13" t="s">
        <v>10</v>
      </c>
      <c r="D32" s="14" t="s">
        <v>82</v>
      </c>
      <c r="E32" s="14">
        <f>220+50+10*5</f>
        <v>320</v>
      </c>
      <c r="F32" s="15">
        <v>1798</v>
      </c>
      <c r="G32" s="15">
        <f t="shared" si="0"/>
        <v>575360</v>
      </c>
      <c r="H32" s="16">
        <f t="shared" ref="H32:H39" si="1">G32</f>
        <v>575360</v>
      </c>
      <c r="I32" s="31"/>
      <c r="J32" s="32"/>
    </row>
    <row r="33" spans="2:10" x14ac:dyDescent="0.3">
      <c r="B33" s="12" t="s">
        <v>43</v>
      </c>
      <c r="C33" s="13" t="s">
        <v>11</v>
      </c>
      <c r="D33" s="14" t="s">
        <v>82</v>
      </c>
      <c r="E33" s="14">
        <f>175+200+2*90</f>
        <v>555</v>
      </c>
      <c r="F33" s="15">
        <v>852</v>
      </c>
      <c r="G33" s="15">
        <f t="shared" si="0"/>
        <v>472860</v>
      </c>
      <c r="H33" s="16">
        <f t="shared" si="1"/>
        <v>472860</v>
      </c>
      <c r="I33" s="31"/>
      <c r="J33" s="32"/>
    </row>
    <row r="34" spans="2:10" x14ac:dyDescent="0.3">
      <c r="B34" s="12" t="s">
        <v>44</v>
      </c>
      <c r="C34" s="13" t="s">
        <v>93</v>
      </c>
      <c r="D34" s="14" t="s">
        <v>82</v>
      </c>
      <c r="E34" s="14">
        <v>230</v>
      </c>
      <c r="F34" s="15">
        <v>475</v>
      </c>
      <c r="G34" s="15">
        <f t="shared" si="0"/>
        <v>109250</v>
      </c>
      <c r="H34" s="16">
        <f t="shared" si="1"/>
        <v>109250</v>
      </c>
      <c r="I34" s="31"/>
      <c r="J34" s="32"/>
    </row>
    <row r="35" spans="2:10" x14ac:dyDescent="0.3">
      <c r="B35" s="12" t="s">
        <v>44</v>
      </c>
      <c r="C35" s="13" t="s">
        <v>94</v>
      </c>
      <c r="D35" s="14" t="s">
        <v>82</v>
      </c>
      <c r="E35" s="14">
        <v>100</v>
      </c>
      <c r="F35" s="15">
        <v>695</v>
      </c>
      <c r="G35" s="15">
        <f t="shared" si="0"/>
        <v>69500</v>
      </c>
      <c r="H35" s="16">
        <f t="shared" si="1"/>
        <v>69500</v>
      </c>
      <c r="I35" s="31"/>
      <c r="J35" s="32"/>
    </row>
    <row r="36" spans="2:10" x14ac:dyDescent="0.3">
      <c r="B36" s="12" t="s">
        <v>45</v>
      </c>
      <c r="C36" s="13" t="s">
        <v>12</v>
      </c>
      <c r="D36" s="14" t="s">
        <v>82</v>
      </c>
      <c r="E36" s="14">
        <f>220+20</f>
        <v>240</v>
      </c>
      <c r="F36" s="15">
        <f>193354/1000</f>
        <v>193.35400000000001</v>
      </c>
      <c r="G36" s="15">
        <f t="shared" si="0"/>
        <v>46404.960000000006</v>
      </c>
      <c r="H36" s="16">
        <f t="shared" si="1"/>
        <v>46404.960000000006</v>
      </c>
      <c r="I36" s="31"/>
      <c r="J36" s="32"/>
    </row>
    <row r="37" spans="2:10" x14ac:dyDescent="0.3">
      <c r="B37" s="12" t="s">
        <v>46</v>
      </c>
      <c r="C37" s="13" t="s">
        <v>13</v>
      </c>
      <c r="D37" s="14" t="s">
        <v>82</v>
      </c>
      <c r="E37" s="14">
        <v>230</v>
      </c>
      <c r="F37" s="15">
        <v>103</v>
      </c>
      <c r="G37" s="15">
        <f t="shared" si="0"/>
        <v>23690</v>
      </c>
      <c r="H37" s="16">
        <f t="shared" si="1"/>
        <v>23690</v>
      </c>
      <c r="I37" s="31"/>
      <c r="J37" s="32"/>
    </row>
    <row r="38" spans="2:10" x14ac:dyDescent="0.3">
      <c r="B38" s="54" t="s">
        <v>47</v>
      </c>
      <c r="C38" s="55" t="s">
        <v>99</v>
      </c>
      <c r="D38" s="14" t="s">
        <v>82</v>
      </c>
      <c r="E38" s="14">
        <v>500</v>
      </c>
      <c r="F38" s="15">
        <f>229141/1000</f>
        <v>229.14099999999999</v>
      </c>
      <c r="G38" s="15">
        <f t="shared" si="0"/>
        <v>114570.5</v>
      </c>
      <c r="H38" s="16">
        <f t="shared" si="1"/>
        <v>114570.5</v>
      </c>
      <c r="I38" s="31"/>
      <c r="J38" s="32"/>
    </row>
    <row r="39" spans="2:10" x14ac:dyDescent="0.3">
      <c r="B39" s="54"/>
      <c r="C39" s="55"/>
      <c r="D39" s="14" t="s">
        <v>83</v>
      </c>
      <c r="E39" s="14">
        <f>7+6+6+5+10</f>
        <v>34</v>
      </c>
      <c r="F39" s="15">
        <v>8593</v>
      </c>
      <c r="G39" s="15">
        <f t="shared" si="0"/>
        <v>292162</v>
      </c>
      <c r="H39" s="16">
        <f t="shared" si="1"/>
        <v>292162</v>
      </c>
      <c r="I39" s="31"/>
      <c r="J39" s="32"/>
    </row>
    <row r="40" spans="2:10" x14ac:dyDescent="0.3">
      <c r="B40" s="30" t="s">
        <v>48</v>
      </c>
      <c r="C40" s="56" t="s">
        <v>30</v>
      </c>
      <c r="D40" s="57"/>
      <c r="E40" s="57"/>
      <c r="F40" s="57"/>
      <c r="G40" s="57"/>
      <c r="H40" s="57"/>
      <c r="I40" s="57"/>
      <c r="J40" s="58"/>
    </row>
    <row r="41" spans="2:10" x14ac:dyDescent="0.3">
      <c r="B41" s="12" t="s">
        <v>49</v>
      </c>
      <c r="C41" s="13" t="s">
        <v>27</v>
      </c>
      <c r="D41" s="14" t="s">
        <v>54</v>
      </c>
      <c r="E41" s="14">
        <f>E8</f>
        <v>357.17</v>
      </c>
      <c r="F41" s="15">
        <v>200</v>
      </c>
      <c r="G41" s="15">
        <f t="shared" si="0"/>
        <v>71434</v>
      </c>
      <c r="H41" s="16">
        <f>G41</f>
        <v>71434</v>
      </c>
      <c r="I41" s="31"/>
      <c r="J41" s="32"/>
    </row>
    <row r="42" spans="2:10" x14ac:dyDescent="0.3">
      <c r="B42" s="12" t="s">
        <v>50</v>
      </c>
      <c r="C42" s="13" t="s">
        <v>53</v>
      </c>
      <c r="D42" s="14" t="s">
        <v>54</v>
      </c>
      <c r="E42" s="14">
        <f>E9</f>
        <v>984.87</v>
      </c>
      <c r="F42" s="15">
        <v>200</v>
      </c>
      <c r="G42" s="15">
        <f t="shared" si="0"/>
        <v>196974</v>
      </c>
      <c r="H42" s="31"/>
      <c r="I42" s="16">
        <f>G42</f>
        <v>196974</v>
      </c>
      <c r="J42" s="32"/>
    </row>
    <row r="43" spans="2:10" x14ac:dyDescent="0.3">
      <c r="B43" s="12" t="s">
        <v>51</v>
      </c>
      <c r="C43" s="13" t="s">
        <v>14</v>
      </c>
      <c r="D43" s="14" t="s">
        <v>35</v>
      </c>
      <c r="E43" s="14">
        <v>1</v>
      </c>
      <c r="F43" s="15">
        <v>250000</v>
      </c>
      <c r="G43" s="15">
        <f t="shared" si="0"/>
        <v>250000</v>
      </c>
      <c r="H43" s="31"/>
      <c r="I43" s="16">
        <f>G43</f>
        <v>250000</v>
      </c>
      <c r="J43" s="32"/>
    </row>
    <row r="44" spans="2:10" ht="15" thickBot="1" x14ac:dyDescent="0.35">
      <c r="B44" s="18" t="s">
        <v>52</v>
      </c>
      <c r="C44" s="19" t="s">
        <v>28</v>
      </c>
      <c r="D44" s="20" t="s">
        <v>54</v>
      </c>
      <c r="E44" s="20">
        <f>E10</f>
        <v>507.42</v>
      </c>
      <c r="F44" s="21">
        <v>200</v>
      </c>
      <c r="G44" s="21">
        <f t="shared" si="0"/>
        <v>101484</v>
      </c>
      <c r="H44" s="33"/>
      <c r="I44" s="33"/>
      <c r="J44" s="22">
        <f>G44</f>
        <v>101484</v>
      </c>
    </row>
    <row r="45" spans="2:10" x14ac:dyDescent="0.3">
      <c r="F45" s="23" t="s">
        <v>96</v>
      </c>
      <c r="G45" s="9">
        <f>SUM(G3:G44)</f>
        <v>18405967.664099358</v>
      </c>
      <c r="H45" s="9">
        <f t="shared" ref="H45:J45" si="2">SUM(H3:H44)</f>
        <v>7087617.6452753581</v>
      </c>
      <c r="I45" s="9">
        <f t="shared" si="2"/>
        <v>7728700.2933060005</v>
      </c>
      <c r="J45" s="24">
        <f t="shared" si="2"/>
        <v>3589649.7255179998</v>
      </c>
    </row>
    <row r="46" spans="2:10" ht="15" thickBot="1" x14ac:dyDescent="0.35">
      <c r="F46" s="25" t="s">
        <v>97</v>
      </c>
      <c r="G46" s="26">
        <f>G45*1.23</f>
        <v>22639340.22684221</v>
      </c>
      <c r="H46" s="26">
        <f t="shared" ref="H46:J46" si="3">H45*1.23</f>
        <v>8717769.7036886904</v>
      </c>
      <c r="I46" s="26">
        <f t="shared" si="3"/>
        <v>9506301.360766381</v>
      </c>
      <c r="J46" s="27">
        <f t="shared" si="3"/>
        <v>4415269.1623871401</v>
      </c>
    </row>
    <row r="48" spans="2:10" x14ac:dyDescent="0.3">
      <c r="G48" s="4" t="s">
        <v>105</v>
      </c>
      <c r="H48" s="3" t="s">
        <v>106</v>
      </c>
    </row>
    <row r="49" spans="6:8" x14ac:dyDescent="0.3">
      <c r="F49" s="1" t="s">
        <v>103</v>
      </c>
      <c r="G49" s="4">
        <f>G8+G41+SUM(G4:G6,G13:G30,G32:G39)*E8/(E8+E9+E10)</f>
        <v>3467678.6578711448</v>
      </c>
      <c r="H49" s="4">
        <f>G49*1.23</f>
        <v>4265244.7491815081</v>
      </c>
    </row>
    <row r="50" spans="6:8" x14ac:dyDescent="0.3">
      <c r="F50" s="1" t="s">
        <v>104</v>
      </c>
      <c r="G50" s="4">
        <f>G45-G49</f>
        <v>14938289.006228212</v>
      </c>
      <c r="H50" s="4">
        <f>G50*1.23</f>
        <v>18374095.477660701</v>
      </c>
    </row>
  </sheetData>
  <mergeCells count="7">
    <mergeCell ref="C3:J3"/>
    <mergeCell ref="B38:B39"/>
    <mergeCell ref="C38:C39"/>
    <mergeCell ref="C40:J40"/>
    <mergeCell ref="C31:J31"/>
    <mergeCell ref="C12:J12"/>
    <mergeCell ref="C7:J7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1AFB3-B8C9-45FE-B832-1DAE2241F2BB}">
  <dimension ref="B1:H52"/>
  <sheetViews>
    <sheetView tabSelected="1" topLeftCell="B1" workbookViewId="0">
      <selection activeCell="B1" sqref="B1:F52"/>
    </sheetView>
  </sheetViews>
  <sheetFormatPr defaultRowHeight="14.4" x14ac:dyDescent="0.3"/>
  <cols>
    <col min="2" max="2" width="9.109375" style="2"/>
    <col min="3" max="3" width="100.6640625" customWidth="1"/>
    <col min="4" max="6" width="30.6640625" style="3" customWidth="1"/>
    <col min="8" max="8" width="15.88671875" bestFit="1" customWidth="1"/>
  </cols>
  <sheetData>
    <row r="1" spans="2:8" x14ac:dyDescent="0.3">
      <c r="F1" s="3" t="s">
        <v>107</v>
      </c>
    </row>
    <row r="2" spans="2:8" ht="15.6" x14ac:dyDescent="0.3">
      <c r="B2" s="67" t="s">
        <v>100</v>
      </c>
      <c r="C2" s="67"/>
      <c r="D2" s="67"/>
      <c r="E2" s="67"/>
      <c r="F2" s="67"/>
    </row>
    <row r="3" spans="2:8" ht="15" thickBot="1" x14ac:dyDescent="0.35"/>
    <row r="4" spans="2:8" x14ac:dyDescent="0.3">
      <c r="B4" s="68" t="s">
        <v>80</v>
      </c>
      <c r="C4" s="70" t="s">
        <v>81</v>
      </c>
      <c r="D4" s="38" t="s">
        <v>101</v>
      </c>
      <c r="E4" s="72" t="s">
        <v>102</v>
      </c>
      <c r="F4" s="73"/>
    </row>
    <row r="5" spans="2:8" x14ac:dyDescent="0.3">
      <c r="B5" s="69"/>
      <c r="C5" s="71"/>
      <c r="D5" s="39" t="s">
        <v>0</v>
      </c>
      <c r="E5" s="40" t="s">
        <v>1</v>
      </c>
      <c r="F5" s="41" t="s">
        <v>2</v>
      </c>
    </row>
    <row r="6" spans="2:8" x14ac:dyDescent="0.3">
      <c r="B6" s="37" t="s">
        <v>57</v>
      </c>
      <c r="C6" s="64" t="s">
        <v>56</v>
      </c>
      <c r="D6" s="65"/>
      <c r="E6" s="65"/>
      <c r="F6" s="66"/>
    </row>
    <row r="7" spans="2:8" x14ac:dyDescent="0.3">
      <c r="B7" s="12" t="s">
        <v>58</v>
      </c>
      <c r="C7" s="13" t="s">
        <v>3</v>
      </c>
      <c r="D7" s="36"/>
      <c r="E7" s="31"/>
      <c r="F7" s="32"/>
    </row>
    <row r="8" spans="2:8" x14ac:dyDescent="0.3">
      <c r="B8" s="12" t="s">
        <v>59</v>
      </c>
      <c r="C8" s="13" t="s">
        <v>5</v>
      </c>
      <c r="D8" s="36"/>
      <c r="E8" s="31"/>
      <c r="F8" s="32"/>
    </row>
    <row r="9" spans="2:8" x14ac:dyDescent="0.3">
      <c r="B9" s="12" t="s">
        <v>60</v>
      </c>
      <c r="C9" s="13" t="s">
        <v>4</v>
      </c>
      <c r="D9" s="36"/>
      <c r="E9" s="34"/>
      <c r="F9" s="35"/>
    </row>
    <row r="10" spans="2:8" x14ac:dyDescent="0.3">
      <c r="B10" s="37" t="s">
        <v>61</v>
      </c>
      <c r="C10" s="64" t="s">
        <v>66</v>
      </c>
      <c r="D10" s="65"/>
      <c r="E10" s="65"/>
      <c r="F10" s="66"/>
    </row>
    <row r="11" spans="2:8" x14ac:dyDescent="0.3">
      <c r="B11" s="12" t="s">
        <v>62</v>
      </c>
      <c r="C11" s="13" t="s">
        <v>19</v>
      </c>
      <c r="D11" s="36"/>
      <c r="E11" s="31"/>
      <c r="F11" s="32"/>
    </row>
    <row r="12" spans="2:8" x14ac:dyDescent="0.3">
      <c r="B12" s="12" t="s">
        <v>63</v>
      </c>
      <c r="C12" s="13" t="s">
        <v>20</v>
      </c>
      <c r="D12" s="31"/>
      <c r="E12" s="34"/>
      <c r="F12" s="32"/>
      <c r="H12" s="5"/>
    </row>
    <row r="13" spans="2:8" x14ac:dyDescent="0.3">
      <c r="B13" s="12" t="s">
        <v>64</v>
      </c>
      <c r="C13" s="13" t="s">
        <v>21</v>
      </c>
      <c r="D13" s="31"/>
      <c r="E13" s="31"/>
      <c r="F13" s="35"/>
    </row>
    <row r="14" spans="2:8" x14ac:dyDescent="0.3">
      <c r="B14" s="12" t="s">
        <v>65</v>
      </c>
      <c r="C14" s="13" t="s">
        <v>29</v>
      </c>
      <c r="D14" s="31"/>
      <c r="E14" s="34"/>
      <c r="F14" s="32"/>
    </row>
    <row r="15" spans="2:8" x14ac:dyDescent="0.3">
      <c r="B15" s="37" t="s">
        <v>67</v>
      </c>
      <c r="C15" s="64" t="s">
        <v>9</v>
      </c>
      <c r="D15" s="65"/>
      <c r="E15" s="65"/>
      <c r="F15" s="66"/>
    </row>
    <row r="16" spans="2:8" x14ac:dyDescent="0.3">
      <c r="B16" s="12" t="s">
        <v>37</v>
      </c>
      <c r="C16" s="13" t="s">
        <v>15</v>
      </c>
      <c r="D16" s="36"/>
      <c r="E16" s="31"/>
      <c r="F16" s="32"/>
    </row>
    <row r="17" spans="2:6" x14ac:dyDescent="0.3">
      <c r="B17" s="12" t="s">
        <v>38</v>
      </c>
      <c r="C17" s="13" t="s">
        <v>77</v>
      </c>
      <c r="D17" s="36"/>
      <c r="E17" s="31"/>
      <c r="F17" s="32"/>
    </row>
    <row r="18" spans="2:6" x14ac:dyDescent="0.3">
      <c r="B18" s="12" t="s">
        <v>39</v>
      </c>
      <c r="C18" s="13" t="s">
        <v>78</v>
      </c>
      <c r="D18" s="31"/>
      <c r="E18" s="34"/>
      <c r="F18" s="32"/>
    </row>
    <row r="19" spans="2:6" x14ac:dyDescent="0.3">
      <c r="B19" s="12" t="s">
        <v>40</v>
      </c>
      <c r="C19" s="13" t="s">
        <v>91</v>
      </c>
      <c r="D19" s="31"/>
      <c r="E19" s="31"/>
      <c r="F19" s="35"/>
    </row>
    <row r="20" spans="2:6" x14ac:dyDescent="0.3">
      <c r="B20" s="12" t="s">
        <v>68</v>
      </c>
      <c r="C20" s="13" t="s">
        <v>16</v>
      </c>
      <c r="D20" s="36"/>
      <c r="E20" s="31"/>
      <c r="F20" s="32"/>
    </row>
    <row r="21" spans="2:6" x14ac:dyDescent="0.3">
      <c r="B21" s="12" t="s">
        <v>69</v>
      </c>
      <c r="C21" s="13" t="s">
        <v>17</v>
      </c>
      <c r="D21" s="36"/>
      <c r="E21" s="31"/>
      <c r="F21" s="32"/>
    </row>
    <row r="22" spans="2:6" x14ac:dyDescent="0.3">
      <c r="B22" s="12" t="s">
        <v>70</v>
      </c>
      <c r="C22" s="13" t="s">
        <v>18</v>
      </c>
      <c r="D22" s="36"/>
      <c r="E22" s="31"/>
      <c r="F22" s="32"/>
    </row>
    <row r="23" spans="2:6" x14ac:dyDescent="0.3">
      <c r="B23" s="12" t="s">
        <v>71</v>
      </c>
      <c r="C23" s="13" t="s">
        <v>22</v>
      </c>
      <c r="D23" s="36"/>
      <c r="E23" s="31"/>
      <c r="F23" s="32"/>
    </row>
    <row r="24" spans="2:6" x14ac:dyDescent="0.3">
      <c r="B24" s="12" t="s">
        <v>72</v>
      </c>
      <c r="C24" s="13" t="s">
        <v>23</v>
      </c>
      <c r="D24" s="31"/>
      <c r="E24" s="34"/>
      <c r="F24" s="32"/>
    </row>
    <row r="25" spans="2:6" x14ac:dyDescent="0.3">
      <c r="B25" s="12" t="s">
        <v>73</v>
      </c>
      <c r="C25" s="13" t="s">
        <v>92</v>
      </c>
      <c r="D25" s="31"/>
      <c r="E25" s="34"/>
      <c r="F25" s="32"/>
    </row>
    <row r="26" spans="2:6" x14ac:dyDescent="0.3">
      <c r="B26" s="12" t="s">
        <v>74</v>
      </c>
      <c r="C26" s="13" t="s">
        <v>85</v>
      </c>
      <c r="D26" s="36"/>
      <c r="E26" s="31"/>
      <c r="F26" s="32"/>
    </row>
    <row r="27" spans="2:6" x14ac:dyDescent="0.3">
      <c r="B27" s="12" t="s">
        <v>75</v>
      </c>
      <c r="C27" s="13" t="s">
        <v>86</v>
      </c>
      <c r="D27" s="31"/>
      <c r="E27" s="34"/>
      <c r="F27" s="32"/>
    </row>
    <row r="28" spans="2:6" x14ac:dyDescent="0.3">
      <c r="B28" s="12" t="s">
        <v>76</v>
      </c>
      <c r="C28" s="13" t="s">
        <v>87</v>
      </c>
      <c r="D28" s="31"/>
      <c r="E28" s="31"/>
      <c r="F28" s="35"/>
    </row>
    <row r="29" spans="2:6" x14ac:dyDescent="0.3">
      <c r="B29" s="12" t="s">
        <v>79</v>
      </c>
      <c r="C29" s="13" t="s">
        <v>24</v>
      </c>
      <c r="D29" s="36"/>
      <c r="E29" s="31"/>
      <c r="F29" s="32"/>
    </row>
    <row r="30" spans="2:6" x14ac:dyDescent="0.3">
      <c r="B30" s="12" t="s">
        <v>88</v>
      </c>
      <c r="C30" s="13" t="s">
        <v>25</v>
      </c>
      <c r="D30" s="31"/>
      <c r="E30" s="34"/>
      <c r="F30" s="32"/>
    </row>
    <row r="31" spans="2:6" x14ac:dyDescent="0.3">
      <c r="B31" s="12" t="s">
        <v>89</v>
      </c>
      <c r="C31" s="13" t="s">
        <v>26</v>
      </c>
      <c r="D31" s="31"/>
      <c r="E31" s="31"/>
      <c r="F31" s="35"/>
    </row>
    <row r="32" spans="2:6" x14ac:dyDescent="0.3">
      <c r="B32" s="12" t="s">
        <v>90</v>
      </c>
      <c r="C32" s="13" t="s">
        <v>32</v>
      </c>
      <c r="D32" s="36"/>
      <c r="E32" s="31"/>
      <c r="F32" s="32"/>
    </row>
    <row r="33" spans="2:6" x14ac:dyDescent="0.3">
      <c r="B33" s="12" t="s">
        <v>95</v>
      </c>
      <c r="C33" s="13" t="s">
        <v>33</v>
      </c>
      <c r="D33" s="31"/>
      <c r="E33" s="34"/>
      <c r="F33" s="32"/>
    </row>
    <row r="34" spans="2:6" x14ac:dyDescent="0.3">
      <c r="B34" s="37" t="s">
        <v>41</v>
      </c>
      <c r="C34" s="64" t="s">
        <v>31</v>
      </c>
      <c r="D34" s="65"/>
      <c r="E34" s="65"/>
      <c r="F34" s="66"/>
    </row>
    <row r="35" spans="2:6" x14ac:dyDescent="0.3">
      <c r="B35" s="12" t="s">
        <v>42</v>
      </c>
      <c r="C35" s="13" t="s">
        <v>10</v>
      </c>
      <c r="D35" s="36"/>
      <c r="E35" s="31"/>
      <c r="F35" s="32"/>
    </row>
    <row r="36" spans="2:6" x14ac:dyDescent="0.3">
      <c r="B36" s="12" t="s">
        <v>43</v>
      </c>
      <c r="C36" s="13" t="s">
        <v>11</v>
      </c>
      <c r="D36" s="36"/>
      <c r="E36" s="31"/>
      <c r="F36" s="32"/>
    </row>
    <row r="37" spans="2:6" x14ac:dyDescent="0.3">
      <c r="B37" s="12" t="s">
        <v>44</v>
      </c>
      <c r="C37" s="13" t="s">
        <v>93</v>
      </c>
      <c r="D37" s="36"/>
      <c r="E37" s="31"/>
      <c r="F37" s="32"/>
    </row>
    <row r="38" spans="2:6" x14ac:dyDescent="0.3">
      <c r="B38" s="12" t="s">
        <v>44</v>
      </c>
      <c r="C38" s="13" t="s">
        <v>94</v>
      </c>
      <c r="D38" s="36"/>
      <c r="E38" s="31"/>
      <c r="F38" s="32"/>
    </row>
    <row r="39" spans="2:6" x14ac:dyDescent="0.3">
      <c r="B39" s="12" t="s">
        <v>45</v>
      </c>
      <c r="C39" s="13" t="s">
        <v>12</v>
      </c>
      <c r="D39" s="36"/>
      <c r="E39" s="31"/>
      <c r="F39" s="32"/>
    </row>
    <row r="40" spans="2:6" x14ac:dyDescent="0.3">
      <c r="B40" s="12" t="s">
        <v>46</v>
      </c>
      <c r="C40" s="13" t="s">
        <v>13</v>
      </c>
      <c r="D40" s="36"/>
      <c r="E40" s="31"/>
      <c r="F40" s="32"/>
    </row>
    <row r="41" spans="2:6" x14ac:dyDescent="0.3">
      <c r="B41" s="49" t="s">
        <v>47</v>
      </c>
      <c r="C41" s="50" t="s">
        <v>99</v>
      </c>
      <c r="D41" s="36"/>
      <c r="E41" s="31"/>
      <c r="F41" s="32"/>
    </row>
    <row r="42" spans="2:6" x14ac:dyDescent="0.3">
      <c r="B42" s="37" t="s">
        <v>48</v>
      </c>
      <c r="C42" s="64" t="s">
        <v>30</v>
      </c>
      <c r="D42" s="65"/>
      <c r="E42" s="65"/>
      <c r="F42" s="66"/>
    </row>
    <row r="43" spans="2:6" x14ac:dyDescent="0.3">
      <c r="B43" s="12" t="s">
        <v>49</v>
      </c>
      <c r="C43" s="13" t="s">
        <v>27</v>
      </c>
      <c r="D43" s="36"/>
      <c r="E43" s="31"/>
      <c r="F43" s="32"/>
    </row>
    <row r="44" spans="2:6" x14ac:dyDescent="0.3">
      <c r="B44" s="12" t="s">
        <v>50</v>
      </c>
      <c r="C44" s="13" t="s">
        <v>53</v>
      </c>
      <c r="D44" s="31"/>
      <c r="E44" s="34"/>
      <c r="F44" s="32"/>
    </row>
    <row r="45" spans="2:6" x14ac:dyDescent="0.3">
      <c r="B45" s="12" t="s">
        <v>51</v>
      </c>
      <c r="C45" s="13" t="s">
        <v>14</v>
      </c>
      <c r="D45" s="31"/>
      <c r="E45" s="34"/>
      <c r="F45" s="32"/>
    </row>
    <row r="46" spans="2:6" ht="15" thickBot="1" x14ac:dyDescent="0.35">
      <c r="B46" s="18" t="s">
        <v>52</v>
      </c>
      <c r="C46" s="42" t="s">
        <v>28</v>
      </c>
      <c r="D46" s="44"/>
      <c r="E46" s="44"/>
      <c r="F46" s="45"/>
    </row>
    <row r="47" spans="2:6" x14ac:dyDescent="0.3">
      <c r="C47" s="47" t="s">
        <v>96</v>
      </c>
      <c r="D47" s="46">
        <f>SUM(D6:D46)</f>
        <v>0</v>
      </c>
      <c r="E47" s="74">
        <f>E9+F9+E12+F13+E14+F19+E18+E24+E25+F28+E27+E30+F31+E33+E44+E45+F46</f>
        <v>0</v>
      </c>
      <c r="F47" s="75"/>
    </row>
    <row r="48" spans="2:6" ht="15" thickBot="1" x14ac:dyDescent="0.35">
      <c r="C48" s="48" t="s">
        <v>97</v>
      </c>
      <c r="D48" s="43">
        <f>D47*1.23</f>
        <v>0</v>
      </c>
      <c r="E48" s="62">
        <f>E47*1.23</f>
        <v>0</v>
      </c>
      <c r="F48" s="63"/>
    </row>
    <row r="52" spans="3:3" x14ac:dyDescent="0.3">
      <c r="C52" s="76" t="s">
        <v>108</v>
      </c>
    </row>
  </sheetData>
  <mergeCells count="11">
    <mergeCell ref="E48:F48"/>
    <mergeCell ref="C42:F42"/>
    <mergeCell ref="B2:F2"/>
    <mergeCell ref="B4:B5"/>
    <mergeCell ref="C4:C5"/>
    <mergeCell ref="E4:F4"/>
    <mergeCell ref="E47:F47"/>
    <mergeCell ref="C6:F6"/>
    <mergeCell ref="C10:F10"/>
    <mergeCell ref="C15:F15"/>
    <mergeCell ref="C34:F34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wycena</vt:lpstr>
      <vt:lpstr>ZZK</vt:lpstr>
      <vt:lpstr>ZZK!Obszar_wydruku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Lange</dc:creator>
  <cp:lastModifiedBy>Michał Palusiński</cp:lastModifiedBy>
  <dcterms:created xsi:type="dcterms:W3CDTF">2024-03-05T06:13:27Z</dcterms:created>
  <dcterms:modified xsi:type="dcterms:W3CDTF">2024-03-06T09:28:54Z</dcterms:modified>
</cp:coreProperties>
</file>